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OLICY &amp; PROJECTS\NDIS STF Project\Phase 2\Project Management\Treasure trove\Completed Resources\"/>
    </mc:Choice>
  </mc:AlternateContent>
  <bookViews>
    <workbookView xWindow="0" yWindow="0" windowWidth="20520" windowHeight="9975"/>
  </bookViews>
  <sheets>
    <sheet name="Grace's car" sheetId="7" r:id="rId1"/>
    <sheet name="Grace's car summary" sheetId="8" r:id="rId2"/>
    <sheet name="Staying Afloat information" sheetId="1" r:id="rId3"/>
    <sheet name="Transition scenario" sheetId="9" r:id="rId4"/>
    <sheet name="My information" sheetId="10" r:id="rId5"/>
    <sheet name="My transition scenario" sheetId="11" r:id="rId6"/>
    <sheet name="Scenario #1 " sheetId="2" r:id="rId7"/>
    <sheet name="Scenario #2" sheetId="3" r:id="rId8"/>
    <sheet name="Scenario #3" sheetId="5" r:id="rId9"/>
    <sheet name="Scenario #4" sheetId="6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1" l="1"/>
  <c r="B88" i="11" l="1"/>
  <c r="D91" i="11"/>
  <c r="F91" i="11" s="1"/>
  <c r="D77" i="11"/>
  <c r="D68" i="11"/>
  <c r="D64" i="11"/>
  <c r="C64" i="11"/>
  <c r="B62" i="11"/>
  <c r="C17" i="11"/>
  <c r="A5" i="11"/>
  <c r="B31" i="10"/>
  <c r="B47" i="10"/>
  <c r="C47" i="10" s="1"/>
  <c r="A33" i="10"/>
  <c r="B29" i="10"/>
  <c r="A4" i="10"/>
  <c r="F51" i="11"/>
  <c r="F50" i="11"/>
  <c r="F49" i="11"/>
  <c r="F48" i="11"/>
  <c r="F47" i="11"/>
  <c r="F39" i="11"/>
  <c r="F42" i="11" s="1"/>
  <c r="D80" i="11" s="1"/>
  <c r="F31" i="11"/>
  <c r="F30" i="11"/>
  <c r="F29" i="11"/>
  <c r="F28" i="11"/>
  <c r="F27" i="11"/>
  <c r="C19" i="11"/>
  <c r="C16" i="11"/>
  <c r="C15" i="11"/>
  <c r="C14" i="11"/>
  <c r="C10" i="11"/>
  <c r="C9" i="11"/>
  <c r="C8" i="11"/>
  <c r="D92" i="11"/>
  <c r="G92" i="11" s="1"/>
  <c r="C65" i="11"/>
  <c r="D65" i="11" s="1"/>
  <c r="F89" i="9"/>
  <c r="E89" i="9"/>
  <c r="D89" i="9"/>
  <c r="G89" i="9" s="1"/>
  <c r="D88" i="9"/>
  <c r="F88" i="9" s="1"/>
  <c r="D66" i="9"/>
  <c r="C64" i="9"/>
  <c r="C63" i="9"/>
  <c r="D63" i="9" s="1"/>
  <c r="E47" i="9"/>
  <c r="D47" i="9"/>
  <c r="E46" i="9"/>
  <c r="D46" i="9"/>
  <c r="E45" i="9"/>
  <c r="D45" i="9"/>
  <c r="E49" i="9"/>
  <c r="D49" i="9"/>
  <c r="E48" i="9"/>
  <c r="D48" i="9"/>
  <c r="F48" i="9" s="1"/>
  <c r="E37" i="9"/>
  <c r="D37" i="9"/>
  <c r="F37" i="9" s="1"/>
  <c r="E29" i="9"/>
  <c r="E28" i="9"/>
  <c r="E27" i="9"/>
  <c r="E26" i="9"/>
  <c r="F26" i="9" s="1"/>
  <c r="E25" i="9"/>
  <c r="D29" i="9"/>
  <c r="D28" i="9"/>
  <c r="D27" i="9"/>
  <c r="F27" i="9" s="1"/>
  <c r="D25" i="9"/>
  <c r="F25" i="9" s="1"/>
  <c r="C41" i="1"/>
  <c r="B41" i="1"/>
  <c r="B38" i="1"/>
  <c r="B31" i="1"/>
  <c r="C17" i="9"/>
  <c r="C15" i="9"/>
  <c r="C14" i="9"/>
  <c r="C13" i="9"/>
  <c r="C10" i="9"/>
  <c r="C9" i="9"/>
  <c r="C8" i="9"/>
  <c r="B25" i="1"/>
  <c r="G6" i="8"/>
  <c r="F6" i="8"/>
  <c r="E6" i="8"/>
  <c r="D6" i="8"/>
  <c r="C6" i="8"/>
  <c r="B6" i="8"/>
  <c r="G19" i="7"/>
  <c r="G20" i="7" s="1"/>
  <c r="F19" i="7"/>
  <c r="D27" i="7"/>
  <c r="D24" i="7"/>
  <c r="D19" i="7"/>
  <c r="D18" i="7"/>
  <c r="D20" i="7" s="1"/>
  <c r="D15" i="7"/>
  <c r="D14" i="7"/>
  <c r="D13" i="7"/>
  <c r="D10" i="7"/>
  <c r="C24" i="7"/>
  <c r="H24" i="7"/>
  <c r="G24" i="7"/>
  <c r="F24" i="7"/>
  <c r="E24" i="7"/>
  <c r="E19" i="7"/>
  <c r="H27" i="7"/>
  <c r="G27" i="7"/>
  <c r="F27" i="7"/>
  <c r="E27" i="7"/>
  <c r="C27" i="7"/>
  <c r="C19" i="7"/>
  <c r="C20" i="7" s="1"/>
  <c r="C18" i="7"/>
  <c r="C14" i="7"/>
  <c r="C13" i="7"/>
  <c r="C15" i="7" s="1"/>
  <c r="C10" i="7"/>
  <c r="H18" i="7"/>
  <c r="H13" i="7"/>
  <c r="G18" i="7"/>
  <c r="G14" i="7"/>
  <c r="G13" i="7"/>
  <c r="F18" i="7"/>
  <c r="F14" i="7"/>
  <c r="F13" i="7"/>
  <c r="E18" i="7"/>
  <c r="E20" i="7" s="1"/>
  <c r="E14" i="7"/>
  <c r="E13" i="7"/>
  <c r="H10" i="7"/>
  <c r="G10" i="7"/>
  <c r="F10" i="7"/>
  <c r="E10" i="7"/>
  <c r="F47" i="9" l="1"/>
  <c r="F29" i="9"/>
  <c r="F28" i="9"/>
  <c r="F30" i="9" s="1"/>
  <c r="D77" i="9" s="1"/>
  <c r="F46" i="9"/>
  <c r="D64" i="9"/>
  <c r="C95" i="9"/>
  <c r="C97" i="9" s="1"/>
  <c r="C21" i="11"/>
  <c r="D78" i="11" s="1"/>
  <c r="E78" i="11" s="1"/>
  <c r="E83" i="11" s="1"/>
  <c r="C66" i="11"/>
  <c r="F32" i="11"/>
  <c r="D79" i="11" s="1"/>
  <c r="F52" i="11"/>
  <c r="D81" i="11" s="1"/>
  <c r="E92" i="11"/>
  <c r="F92" i="11"/>
  <c r="F45" i="9"/>
  <c r="F49" i="9"/>
  <c r="D65" i="9"/>
  <c r="D67" i="9" s="1"/>
  <c r="D80" i="9" s="1"/>
  <c r="F40" i="9"/>
  <c r="D78" i="9" s="1"/>
  <c r="C19" i="9"/>
  <c r="D76" i="9" s="1"/>
  <c r="F20" i="7"/>
  <c r="D23" i="7"/>
  <c r="D25" i="7" s="1"/>
  <c r="C23" i="7"/>
  <c r="C25" i="7" s="1"/>
  <c r="H19" i="7"/>
  <c r="H20" i="7" s="1"/>
  <c r="E15" i="7"/>
  <c r="H15" i="7"/>
  <c r="G15" i="7"/>
  <c r="F15" i="7"/>
  <c r="B12" i="5"/>
  <c r="F50" i="9" l="1"/>
  <c r="D79" i="9" s="1"/>
  <c r="D101" i="9"/>
  <c r="G101" i="9"/>
  <c r="F101" i="9"/>
  <c r="E101" i="9"/>
  <c r="D66" i="11"/>
  <c r="D67" i="11" s="1"/>
  <c r="D69" i="11" s="1"/>
  <c r="D82" i="11" s="1"/>
  <c r="D83" i="11" s="1"/>
  <c r="E90" i="11" s="1"/>
  <c r="E93" i="11" s="1"/>
  <c r="E103" i="11" s="1"/>
  <c r="C98" i="11"/>
  <c r="C100" i="11" s="1"/>
  <c r="G90" i="11"/>
  <c r="G93" i="11" s="1"/>
  <c r="G103" i="11" s="1"/>
  <c r="F90" i="11"/>
  <c r="F93" i="11" s="1"/>
  <c r="F103" i="11" s="1"/>
  <c r="E76" i="9"/>
  <c r="E81" i="9" s="1"/>
  <c r="D81" i="9"/>
  <c r="E23" i="7"/>
  <c r="E25" i="7" s="1"/>
  <c r="F23" i="7"/>
  <c r="F25" i="7" s="1"/>
  <c r="H23" i="7"/>
  <c r="H25" i="7" s="1"/>
  <c r="G23" i="7"/>
  <c r="G25" i="7" s="1"/>
  <c r="B14" i="3"/>
  <c r="G87" i="9" l="1"/>
  <c r="G90" i="9" s="1"/>
  <c r="G100" i="9" s="1"/>
  <c r="G102" i="9" s="1"/>
  <c r="F87" i="9"/>
  <c r="F90" i="9" s="1"/>
  <c r="F100" i="9" s="1"/>
  <c r="F102" i="9" s="1"/>
  <c r="D104" i="11"/>
  <c r="E104" i="11"/>
  <c r="E105" i="11" s="1"/>
  <c r="F104" i="11"/>
  <c r="F105" i="11" s="1"/>
  <c r="G104" i="11"/>
  <c r="G105" i="11" s="1"/>
  <c r="D90" i="11"/>
  <c r="D93" i="11" s="1"/>
  <c r="D103" i="11" s="1"/>
  <c r="D87" i="9"/>
  <c r="D90" i="9" s="1"/>
  <c r="D100" i="9" s="1"/>
  <c r="D102" i="9" s="1"/>
  <c r="E87" i="9"/>
  <c r="E90" i="9" s="1"/>
  <c r="E100" i="9" s="1"/>
  <c r="E102" i="9" s="1"/>
  <c r="E9" i="6"/>
  <c r="F9" i="6" s="1"/>
  <c r="G9" i="6" s="1"/>
  <c r="H9" i="6" s="1"/>
  <c r="I9" i="6" s="1"/>
  <c r="J9" i="6" s="1"/>
  <c r="B18" i="6"/>
  <c r="B14" i="6"/>
  <c r="B12" i="6"/>
  <c r="E5" i="6"/>
  <c r="F5" i="6" s="1"/>
  <c r="B18" i="5"/>
  <c r="B14" i="5"/>
  <c r="E9" i="5"/>
  <c r="F9" i="5" s="1"/>
  <c r="G9" i="5" s="1"/>
  <c r="H9" i="5" s="1"/>
  <c r="I9" i="5" s="1"/>
  <c r="J9" i="5" s="1"/>
  <c r="E5" i="5"/>
  <c r="F5" i="5" s="1"/>
  <c r="G5" i="5" s="1"/>
  <c r="H5" i="5" s="1"/>
  <c r="I5" i="5" s="1"/>
  <c r="J5" i="5" s="1"/>
  <c r="B12" i="3"/>
  <c r="B17" i="3" s="1"/>
  <c r="E9" i="3"/>
  <c r="F9" i="3" s="1"/>
  <c r="G9" i="3" s="1"/>
  <c r="H9" i="3" s="1"/>
  <c r="I9" i="3" s="1"/>
  <c r="J9" i="3" s="1"/>
  <c r="E5" i="3"/>
  <c r="F5" i="3" s="1"/>
  <c r="G5" i="3" s="1"/>
  <c r="H5" i="3" s="1"/>
  <c r="I5" i="3" s="1"/>
  <c r="J5" i="3" s="1"/>
  <c r="B12" i="2"/>
  <c r="B16" i="2" s="1"/>
  <c r="E9" i="2"/>
  <c r="F9" i="2" s="1"/>
  <c r="G9" i="2" s="1"/>
  <c r="H9" i="2" s="1"/>
  <c r="I9" i="2" s="1"/>
  <c r="J9" i="2" s="1"/>
  <c r="E5" i="2"/>
  <c r="F5" i="2" s="1"/>
  <c r="G5" i="2" s="1"/>
  <c r="H5" i="2" s="1"/>
  <c r="I5" i="2" s="1"/>
  <c r="J5" i="2" s="1"/>
  <c r="B23" i="1"/>
  <c r="D105" i="11" l="1"/>
  <c r="B13" i="2"/>
  <c r="I7" i="2" s="1"/>
  <c r="E8" i="3"/>
  <c r="E8" i="6"/>
  <c r="J7" i="5"/>
  <c r="H8" i="5"/>
  <c r="F8" i="6"/>
  <c r="G5" i="6"/>
  <c r="H5" i="6" s="1"/>
  <c r="H7" i="6" s="1"/>
  <c r="G8" i="6"/>
  <c r="E7" i="6"/>
  <c r="F7" i="6"/>
  <c r="G7" i="6"/>
  <c r="F8" i="5"/>
  <c r="E8" i="5"/>
  <c r="I8" i="5"/>
  <c r="H7" i="5"/>
  <c r="J8" i="5"/>
  <c r="E7" i="5"/>
  <c r="G8" i="5"/>
  <c r="F7" i="5"/>
  <c r="G7" i="5"/>
  <c r="I7" i="5"/>
  <c r="J8" i="3"/>
  <c r="F8" i="3"/>
  <c r="I8" i="3"/>
  <c r="H8" i="3"/>
  <c r="G8" i="3"/>
  <c r="H8" i="2"/>
  <c r="E8" i="2"/>
  <c r="J8" i="2"/>
  <c r="G8" i="2"/>
  <c r="F8" i="2"/>
  <c r="I8" i="2"/>
  <c r="G7" i="2" l="1"/>
  <c r="G11" i="2" s="1"/>
  <c r="E7" i="2"/>
  <c r="E11" i="2" s="1"/>
  <c r="E13" i="2" s="1"/>
  <c r="J7" i="2"/>
  <c r="J11" i="2" s="1"/>
  <c r="F7" i="2"/>
  <c r="F11" i="2" s="1"/>
  <c r="H7" i="2"/>
  <c r="H11" i="2" s="1"/>
  <c r="G11" i="6"/>
  <c r="F11" i="6"/>
  <c r="E11" i="6"/>
  <c r="E13" i="6" s="1"/>
  <c r="E15" i="6" s="1"/>
  <c r="H11" i="5"/>
  <c r="J11" i="5"/>
  <c r="I5" i="6"/>
  <c r="H8" i="6"/>
  <c r="H11" i="6" s="1"/>
  <c r="E11" i="5"/>
  <c r="E13" i="5" s="1"/>
  <c r="E15" i="5" s="1"/>
  <c r="F11" i="5"/>
  <c r="I11" i="5"/>
  <c r="G11" i="5"/>
  <c r="J7" i="3"/>
  <c r="J11" i="3" s="1"/>
  <c r="H7" i="3"/>
  <c r="H11" i="3" s="1"/>
  <c r="I7" i="3"/>
  <c r="I11" i="3" s="1"/>
  <c r="G7" i="3"/>
  <c r="G11" i="3" s="1"/>
  <c r="F7" i="3"/>
  <c r="F11" i="3" s="1"/>
  <c r="E7" i="3"/>
  <c r="E11" i="3" s="1"/>
  <c r="E13" i="3" s="1"/>
  <c r="E15" i="3" s="1"/>
  <c r="I11" i="2"/>
  <c r="F13" i="6" l="1"/>
  <c r="F15" i="6" s="1"/>
  <c r="I8" i="6"/>
  <c r="J5" i="6"/>
  <c r="I7" i="6"/>
  <c r="F13" i="5"/>
  <c r="F15" i="5" s="1"/>
  <c r="F13" i="3"/>
  <c r="F15" i="3" s="1"/>
  <c r="F13" i="2"/>
  <c r="F15" i="2" s="1"/>
  <c r="E15" i="2"/>
  <c r="G13" i="6" l="1"/>
  <c r="G15" i="6" s="1"/>
  <c r="G13" i="5"/>
  <c r="G15" i="5" s="1"/>
  <c r="I11" i="6"/>
  <c r="J8" i="6"/>
  <c r="J7" i="6"/>
  <c r="G13" i="3"/>
  <c r="G15" i="3" s="1"/>
  <c r="G13" i="2"/>
  <c r="H13" i="2" s="1"/>
  <c r="H13" i="6" l="1"/>
  <c r="H15" i="6" s="1"/>
  <c r="J11" i="6"/>
  <c r="H13" i="5"/>
  <c r="G15" i="2"/>
  <c r="H13" i="3"/>
  <c r="H15" i="3" s="1"/>
  <c r="I13" i="2"/>
  <c r="H15" i="2"/>
  <c r="I13" i="6" l="1"/>
  <c r="I15" i="6" s="1"/>
  <c r="H15" i="5"/>
  <c r="I13" i="5"/>
  <c r="I13" i="3"/>
  <c r="I15" i="3" s="1"/>
  <c r="J13" i="2"/>
  <c r="J15" i="2" s="1"/>
  <c r="I15" i="2"/>
  <c r="J13" i="6" l="1"/>
  <c r="J15" i="6" s="1"/>
  <c r="I15" i="5"/>
  <c r="J13" i="5"/>
  <c r="J15" i="5" s="1"/>
  <c r="J13" i="3"/>
  <c r="J15" i="3" s="1"/>
</calcChain>
</file>

<file path=xl/sharedStrings.xml><?xml version="1.0" encoding="utf-8"?>
<sst xmlns="http://schemas.openxmlformats.org/spreadsheetml/2006/main" count="452" uniqueCount="223">
  <si>
    <t>Company Name:</t>
  </si>
  <si>
    <t>Financial Year:</t>
  </si>
  <si>
    <t>Staying Afloat Ltd.</t>
  </si>
  <si>
    <t>Cash</t>
  </si>
  <si>
    <t>Receivables</t>
  </si>
  <si>
    <t>Other assets</t>
  </si>
  <si>
    <t>Current Assets</t>
  </si>
  <si>
    <t>Non-Current Assets</t>
  </si>
  <si>
    <t>PPE</t>
  </si>
  <si>
    <t>Current Liabilities</t>
  </si>
  <si>
    <t>Payables</t>
  </si>
  <si>
    <t>Provisions</t>
  </si>
  <si>
    <t>Borrowings</t>
  </si>
  <si>
    <t>Non-Current Liabilities</t>
  </si>
  <si>
    <t>Equity</t>
  </si>
  <si>
    <t>Retained surpluses</t>
  </si>
  <si>
    <t>Total Number of clients:</t>
  </si>
  <si>
    <t>Number Registered:</t>
  </si>
  <si>
    <t>Outgoing payments per month</t>
  </si>
  <si>
    <t>Loan repayment per month</t>
  </si>
  <si>
    <t>Month 1</t>
  </si>
  <si>
    <t>Month 2</t>
  </si>
  <si>
    <t>Month 3</t>
  </si>
  <si>
    <t>Month 4</t>
  </si>
  <si>
    <t>Month 5</t>
  </si>
  <si>
    <t>Month 6</t>
  </si>
  <si>
    <t>Assumptions</t>
  </si>
  <si>
    <t>Total Income</t>
  </si>
  <si>
    <t>Total outgoings</t>
  </si>
  <si>
    <t>Average Staff rate</t>
  </si>
  <si>
    <t>Avg NDIA Income rate per hour:</t>
  </si>
  <si>
    <t>Avg NDIA income per month per client)</t>
  </si>
  <si>
    <t>Staff cost of delivery (per client per month)</t>
  </si>
  <si>
    <t>No. of hours delivered (per client per month)</t>
  </si>
  <si>
    <t>Total staff cost</t>
  </si>
  <si>
    <t>Total cashflow</t>
  </si>
  <si>
    <t>Working capital</t>
  </si>
  <si>
    <t>Total Clients registered</t>
  </si>
  <si>
    <t>Number of actual billable hours (per client per month)</t>
  </si>
  <si>
    <t>Additional Outgoing costs</t>
  </si>
  <si>
    <t>Scenario #1 - Sign me up</t>
  </si>
  <si>
    <t>Scenario #2 - I'm not paid enough</t>
  </si>
  <si>
    <t>Staying Afloat Ltd. Has very caring staff, but sometimes they just don’t like following the rostered time they need to spend with clients….</t>
  </si>
  <si>
    <t>Scenario #3 - It's MY time</t>
  </si>
  <si>
    <t>Scenario #4 - Transition pains</t>
  </si>
  <si>
    <t>Staying Afloat Ltd. Has a very smart accountant, he wears glasses after all, but those external consultants just told him, that the initial quote for the NDIS CRM was too low….</t>
  </si>
  <si>
    <t>Staff  employed Hours (per client per month)</t>
  </si>
  <si>
    <t>Additional registered per month:</t>
  </si>
  <si>
    <t>Staying Afloat Ltd. Has dropped the ball and is hasn’t signed their clients up to the NDIS on time, they are now playing catch-up….</t>
  </si>
  <si>
    <t>Scenarios</t>
  </si>
  <si>
    <t>Savings now</t>
  </si>
  <si>
    <t>Debts now</t>
  </si>
  <si>
    <t>Running costs of a car</t>
  </si>
  <si>
    <t>Available cash</t>
  </si>
  <si>
    <t>Cash earned from job</t>
  </si>
  <si>
    <t xml:space="preserve">Cash spent </t>
  </si>
  <si>
    <t>Cash impact of change</t>
  </si>
  <si>
    <t>Working more</t>
  </si>
  <si>
    <t>What I own?</t>
  </si>
  <si>
    <t>What I owe?</t>
  </si>
  <si>
    <t>What I earn?</t>
  </si>
  <si>
    <t>What I spend?</t>
  </si>
  <si>
    <t>What I have left?</t>
  </si>
  <si>
    <t>What new costs do I have?</t>
  </si>
  <si>
    <t>What new income do I have?</t>
  </si>
  <si>
    <t>Cost of car</t>
  </si>
  <si>
    <t>Bank loan available</t>
  </si>
  <si>
    <t>Years until repayment is complete</t>
  </si>
  <si>
    <t>Explanation</t>
  </si>
  <si>
    <t>Decision area</t>
  </si>
  <si>
    <t>Bank loan needed</t>
  </si>
  <si>
    <t>Purchase delay (months)</t>
  </si>
  <si>
    <t>Cost of change</t>
  </si>
  <si>
    <t>What is the cost of change?</t>
  </si>
  <si>
    <t>What external help is available?</t>
  </si>
  <si>
    <t>How long can I delay change?</t>
  </si>
  <si>
    <t>Shortfall of cash for change</t>
  </si>
  <si>
    <t>Decision levers</t>
  </si>
  <si>
    <t>How much work is done?</t>
  </si>
  <si>
    <t>How much money we make on the work?</t>
  </si>
  <si>
    <t>When is the money paid?</t>
  </si>
  <si>
    <t>What does it cost to make the change?</t>
  </si>
  <si>
    <t>How large is the cash shortfall?</t>
  </si>
  <si>
    <t xml:space="preserve">How much external help is available?  </t>
  </si>
  <si>
    <t>Grace's car dilema</t>
  </si>
  <si>
    <t>Change required</t>
  </si>
  <si>
    <t>Savings assessment</t>
  </si>
  <si>
    <t>My available savings</t>
  </si>
  <si>
    <t>My savings per year from current job</t>
  </si>
  <si>
    <t>How long can we save for the costs?</t>
  </si>
  <si>
    <t>Current savings potential assessment</t>
  </si>
  <si>
    <t>Impact on saving capacity by buying a car</t>
  </si>
  <si>
    <t>Savings years until car purchase</t>
  </si>
  <si>
    <t>What is our savings postion at the start of the change?</t>
  </si>
  <si>
    <t>Timing of change</t>
  </si>
  <si>
    <t>Volume of hours sold</t>
  </si>
  <si>
    <t>Margin on hours sold</t>
  </si>
  <si>
    <t>Timing of payment for work</t>
  </si>
  <si>
    <t>Financing options</t>
  </si>
  <si>
    <t>Value of finance required</t>
  </si>
  <si>
    <t>Add $2,500 in savings</t>
  </si>
  <si>
    <t>Same hours worked with $25 better pay pw</t>
  </si>
  <si>
    <t>Delay purchase for one year</t>
  </si>
  <si>
    <t xml:space="preserve">Spend $3,500 more on a car </t>
  </si>
  <si>
    <t>Delay two years</t>
  </si>
  <si>
    <t>Work more but spend more…</t>
  </si>
  <si>
    <t>Years to repay</t>
  </si>
  <si>
    <t>Work more but keep spending in check</t>
  </si>
  <si>
    <t>NDIS Simply</t>
  </si>
  <si>
    <t>NDIS transition and cash example</t>
  </si>
  <si>
    <t>How much cash do we have?</t>
  </si>
  <si>
    <t xml:space="preserve">How much cash will we have left?  </t>
  </si>
  <si>
    <t>How much can we save after NDIS implementation?</t>
  </si>
  <si>
    <t>When do we need to transition to NDIS?</t>
  </si>
  <si>
    <t>How much may it cost to transition to NDIS?</t>
  </si>
  <si>
    <t>Staying Afloat Ltd has "cash" or working capital of $110,000:</t>
  </si>
  <si>
    <t>Less</t>
  </si>
  <si>
    <t>Non-current provisions</t>
  </si>
  <si>
    <t>Available "cash" or working capital</t>
  </si>
  <si>
    <t>Staff cost estimate</t>
  </si>
  <si>
    <t>Infrastucture estimate</t>
  </si>
  <si>
    <t>Discipline estimate</t>
  </si>
  <si>
    <t>Balance  sheet as at 30 June 2018</t>
  </si>
  <si>
    <t>Profit and loss statement for the year ended 30 June 2018</t>
  </si>
  <si>
    <t>Revenue</t>
  </si>
  <si>
    <t>DHHS revenue</t>
  </si>
  <si>
    <t>Interest</t>
  </si>
  <si>
    <t>Other revenue</t>
  </si>
  <si>
    <t>Client revenue</t>
  </si>
  <si>
    <t>Expenses</t>
  </si>
  <si>
    <t>Employee benefits expense</t>
  </si>
  <si>
    <t>Program costs</t>
  </si>
  <si>
    <t>Rental expense</t>
  </si>
  <si>
    <t>Depreciation</t>
  </si>
  <si>
    <t>Other expenses</t>
  </si>
  <si>
    <t>Net profit</t>
  </si>
  <si>
    <t>Transition activity</t>
  </si>
  <si>
    <t>Planning and preparation</t>
  </si>
  <si>
    <t>Tracking systems</t>
  </si>
  <si>
    <t>Individual entry into CRM</t>
  </si>
  <si>
    <t>NDIA billing process</t>
  </si>
  <si>
    <t>NDIS registration finalisation</t>
  </si>
  <si>
    <t>Type of staff</t>
  </si>
  <si>
    <t>Cost of staff</t>
  </si>
  <si>
    <t>Estimated hours</t>
  </si>
  <si>
    <t>Total cost including oncosts</t>
  </si>
  <si>
    <t>Senior</t>
  </si>
  <si>
    <t>Outside contractor</t>
  </si>
  <si>
    <t>Administration</t>
  </si>
  <si>
    <t>Enterprise management software</t>
  </si>
  <si>
    <t>Time and attendance system</t>
  </si>
  <si>
    <t>Support model design, testing and documentation</t>
  </si>
  <si>
    <t>Recruitment</t>
  </si>
  <si>
    <t>Marketnig</t>
  </si>
  <si>
    <t>Plan commencement date coincides with delivery date</t>
  </si>
  <si>
    <t>Only purchased supports delivered</t>
  </si>
  <si>
    <t>Delivery only within support model</t>
  </si>
  <si>
    <t>Claim accuracy and timeliness</t>
  </si>
  <si>
    <t>Billable rate analysis</t>
  </si>
  <si>
    <t>Plan or complexity change follow up</t>
  </si>
  <si>
    <t>Staying Afloat Ltd predominantly works in the Western Melbourne region which goes live in October 2018.</t>
  </si>
  <si>
    <t>How much can we save before NDIS implementation?</t>
  </si>
  <si>
    <t xml:space="preserve">There will be at least four months of DHHS funded operations between 30 June 2018 and October 2018.  </t>
  </si>
  <si>
    <t>If our 2018 profitability persists then we could save around:</t>
  </si>
  <si>
    <t>Net support margin</t>
  </si>
  <si>
    <t>Revenue projection</t>
  </si>
  <si>
    <t>Year ended 30 June 2018</t>
  </si>
  <si>
    <t>Four months ending 31 October 2018</t>
  </si>
  <si>
    <t>Projected free cashflow</t>
  </si>
  <si>
    <t>Depreciation - non-cash item</t>
  </si>
  <si>
    <t>Based on revenue being consistent with prior year plus 2.5% CPI</t>
  </si>
  <si>
    <t>Assume 1% less support margin overall</t>
  </si>
  <si>
    <t>Calculated</t>
  </si>
  <si>
    <t>Based on four months of depreciation from prior year</t>
  </si>
  <si>
    <t xml:space="preserve">Given an October 2018 transition, support margin is unknown at this point.  </t>
  </si>
  <si>
    <t xml:space="preserve">For the purposes of this model we have assumed the business will make no profit between November 2018 and June 2019.  </t>
  </si>
  <si>
    <t>Opening working capital calclated</t>
  </si>
  <si>
    <t>Less transition costs</t>
  </si>
  <si>
    <t>Staff costs</t>
  </si>
  <si>
    <t>Infrastructure</t>
  </si>
  <si>
    <t>Discipline</t>
  </si>
  <si>
    <t>Add pre-transition free cashflow</t>
  </si>
  <si>
    <t>Total working capital remaining at October 2018</t>
  </si>
  <si>
    <t>Projected 31 October 2018</t>
  </si>
  <si>
    <t>Risk adjusted</t>
  </si>
  <si>
    <t xml:space="preserve">How much cash will we have at 30 June 2019?  </t>
  </si>
  <si>
    <t>The answer is "it depends" but if we simply assume the NDIS growth of 35% and model for a number of claiming strategies the results are as follows:</t>
  </si>
  <si>
    <t>October cash projected</t>
  </si>
  <si>
    <t>Month after claiming</t>
  </si>
  <si>
    <t>Claiming matches with payroll cycle</t>
  </si>
  <si>
    <t>NDIS cashflow deferral impact</t>
  </si>
  <si>
    <t>Non-cash expense - Depreciation</t>
  </si>
  <si>
    <t>Projected total working capital remaining at June 2019</t>
  </si>
  <si>
    <t>Risk adjusted - Month after claiming</t>
  </si>
  <si>
    <t>Risk adjusted - Claiming matches with payroll cycle</t>
  </si>
  <si>
    <t>Potentially insolvent</t>
  </si>
  <si>
    <t>My organisation name</t>
  </si>
  <si>
    <t>Property, plantand equipment</t>
  </si>
  <si>
    <t>Financial assets</t>
  </si>
  <si>
    <t>Other non-current assets</t>
  </si>
  <si>
    <t>Other current liabilities</t>
  </si>
  <si>
    <t>Other non-current liabilities</t>
  </si>
  <si>
    <t>Reserves</t>
  </si>
  <si>
    <t xml:space="preserve">In balance warning- </t>
  </si>
  <si>
    <r>
      <t xml:space="preserve">Staying Afloat Ltd predominantly works in the &lt; </t>
    </r>
    <r>
      <rPr>
        <b/>
        <sz val="11"/>
        <color theme="1"/>
        <rFont val="Calibri"/>
        <family val="2"/>
        <scheme val="minor"/>
      </rPr>
      <t xml:space="preserve">NAME NDIS REGIONS&gt; </t>
    </r>
    <r>
      <rPr>
        <sz val="11"/>
        <color theme="1"/>
        <rFont val="Calibri"/>
        <family val="2"/>
        <scheme val="minor"/>
      </rPr>
      <t xml:space="preserve"> region which goes live in </t>
    </r>
    <r>
      <rPr>
        <b/>
        <sz val="11"/>
        <color theme="1"/>
        <rFont val="Calibri"/>
        <family val="2"/>
        <scheme val="minor"/>
      </rPr>
      <t>&lt;NAME IMPLEMENTATION DATE&gt;</t>
    </r>
  </si>
  <si>
    <t>Transition activity will predominantly happen between June 2018 and October 2018.</t>
  </si>
  <si>
    <t>Transition activity will predominantly happen between &lt;NAME IMPLEMENTATION DATE&gt;</t>
  </si>
  <si>
    <t>Months to implementation</t>
  </si>
  <si>
    <t>If our current support margin persists then we could save:</t>
  </si>
  <si>
    <t xml:space="preserve">For the purposes of this model we have assumed the business will make no profit post implementation.  </t>
  </si>
  <si>
    <t>Transition working capital projected</t>
  </si>
  <si>
    <t>Assumed NDIS growth</t>
  </si>
  <si>
    <t xml:space="preserve">Projected total working capital remaining </t>
  </si>
  <si>
    <t>Assumed impact of NDIS on average support margin</t>
  </si>
  <si>
    <t>Average support margin in prior period</t>
  </si>
  <si>
    <t>Assumed support margin under NDIS</t>
  </si>
  <si>
    <t xml:space="preserve"> Staying Afloat Ltd. Isn't very disciplined about providing only purchased supports, the staff provide more support than purchased…</t>
  </si>
  <si>
    <t>Assumed NDIS volume growth per year</t>
  </si>
  <si>
    <t>Years until significant liquidity impact</t>
  </si>
  <si>
    <t>How may support margin and volume impact cash post NDIS?</t>
  </si>
  <si>
    <t>Assumed working capital at NDIS transition including deferral impact</t>
  </si>
  <si>
    <t>Annual free cashflow generated by support post NDIS</t>
  </si>
  <si>
    <t>Gain independence by buying and using a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</si>
</sst>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40404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164" fontId="0" fillId="0" borderId="5" xfId="2" applyFont="1" applyBorder="1"/>
    <xf numFmtId="0" fontId="0" fillId="0" borderId="6" xfId="0" applyBorder="1"/>
    <xf numFmtId="0" fontId="0" fillId="0" borderId="7" xfId="0" applyBorder="1"/>
    <xf numFmtId="0" fontId="3" fillId="0" borderId="2" xfId="0" applyFont="1" applyBorder="1"/>
    <xf numFmtId="164" fontId="0" fillId="2" borderId="5" xfId="2" applyFont="1" applyFill="1" applyBorder="1"/>
    <xf numFmtId="165" fontId="0" fillId="2" borderId="5" xfId="1" applyFont="1" applyFill="1" applyBorder="1"/>
    <xf numFmtId="164" fontId="0" fillId="0" borderId="0" xfId="0" applyNumberFormat="1" applyBorder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3" fillId="0" borderId="0" xfId="0" applyFont="1" applyBorder="1"/>
    <xf numFmtId="0" fontId="0" fillId="0" borderId="4" xfId="0" applyFill="1" applyBorder="1"/>
    <xf numFmtId="0" fontId="0" fillId="3" borderId="4" xfId="0" applyFill="1" applyBorder="1"/>
    <xf numFmtId="0" fontId="4" fillId="0" borderId="0" xfId="0" applyFont="1"/>
    <xf numFmtId="0" fontId="3" fillId="0" borderId="0" xfId="0" applyFont="1"/>
    <xf numFmtId="165" fontId="0" fillId="0" borderId="0" xfId="1" applyFont="1"/>
    <xf numFmtId="166" fontId="0" fillId="0" borderId="0" xfId="1" applyNumberFormat="1" applyFont="1"/>
    <xf numFmtId="0" fontId="0" fillId="0" borderId="0" xfId="0" applyAlignment="1">
      <alignment wrapText="1"/>
    </xf>
    <xf numFmtId="166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0" borderId="0" xfId="0" applyFont="1"/>
    <xf numFmtId="0" fontId="5" fillId="5" borderId="0" xfId="0" applyFont="1" applyFill="1"/>
    <xf numFmtId="0" fontId="6" fillId="5" borderId="0" xfId="0" applyFont="1" applyFill="1" applyAlignment="1">
      <alignment wrapText="1"/>
    </xf>
    <xf numFmtId="0" fontId="5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5" fillId="4" borderId="8" xfId="0" applyFont="1" applyFill="1" applyBorder="1"/>
    <xf numFmtId="0" fontId="6" fillId="4" borderId="9" xfId="0" applyFont="1" applyFill="1" applyBorder="1"/>
    <xf numFmtId="0" fontId="5" fillId="4" borderId="11" xfId="0" applyFont="1" applyFill="1" applyBorder="1"/>
    <xf numFmtId="0" fontId="6" fillId="4" borderId="12" xfId="0" applyFont="1" applyFill="1" applyBorder="1"/>
    <xf numFmtId="0" fontId="0" fillId="0" borderId="14" xfId="0" applyBorder="1"/>
    <xf numFmtId="0" fontId="0" fillId="0" borderId="0" xfId="0" applyBorder="1"/>
    <xf numFmtId="166" fontId="0" fillId="0" borderId="0" xfId="1" applyNumberFormat="1" applyFont="1" applyBorder="1"/>
    <xf numFmtId="166" fontId="0" fillId="0" borderId="15" xfId="1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166" fontId="0" fillId="0" borderId="19" xfId="1" applyNumberFormat="1" applyFont="1" applyBorder="1"/>
    <xf numFmtId="0" fontId="5" fillId="4" borderId="12" xfId="0" applyFont="1" applyFill="1" applyBorder="1"/>
    <xf numFmtId="166" fontId="6" fillId="4" borderId="12" xfId="1" applyNumberFormat="1" applyFont="1" applyFill="1" applyBorder="1"/>
    <xf numFmtId="166" fontId="6" fillId="4" borderId="13" xfId="1" applyNumberFormat="1" applyFont="1" applyFill="1" applyBorder="1"/>
    <xf numFmtId="0" fontId="3" fillId="0" borderId="16" xfId="0" applyFont="1" applyBorder="1"/>
    <xf numFmtId="166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7" borderId="0" xfId="1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6" fontId="0" fillId="7" borderId="0" xfId="1" applyNumberFormat="1" applyFont="1" applyFill="1" applyBorder="1"/>
    <xf numFmtId="166" fontId="0" fillId="7" borderId="18" xfId="1" applyNumberFormat="1" applyFont="1" applyFill="1" applyBorder="1"/>
    <xf numFmtId="166" fontId="0" fillId="7" borderId="0" xfId="1" applyNumberFormat="1" applyFont="1" applyFill="1"/>
    <xf numFmtId="166" fontId="0" fillId="7" borderId="15" xfId="1" applyNumberFormat="1" applyFont="1" applyFill="1" applyBorder="1"/>
    <xf numFmtId="166" fontId="0" fillId="6" borderId="18" xfId="1" applyNumberFormat="1" applyFont="1" applyFill="1" applyBorder="1"/>
    <xf numFmtId="166" fontId="0" fillId="6" borderId="0" xfId="1" applyNumberFormat="1" applyFont="1" applyFill="1"/>
    <xf numFmtId="0" fontId="7" fillId="0" borderId="0" xfId="0" applyFont="1"/>
    <xf numFmtId="167" fontId="0" fillId="0" borderId="1" xfId="2" applyNumberFormat="1" applyFont="1" applyBorder="1"/>
    <xf numFmtId="0" fontId="0" fillId="0" borderId="0" xfId="0" applyFill="1" applyBorder="1"/>
    <xf numFmtId="0" fontId="3" fillId="0" borderId="0" xfId="0" applyFont="1" applyFill="1" applyBorder="1"/>
    <xf numFmtId="167" fontId="3" fillId="0" borderId="0" xfId="0" applyNumberFormat="1" applyFont="1"/>
    <xf numFmtId="165" fontId="0" fillId="2" borderId="0" xfId="1" applyFont="1" applyFill="1"/>
    <xf numFmtId="166" fontId="0" fillId="2" borderId="0" xfId="1" applyNumberFormat="1" applyFont="1" applyFill="1"/>
    <xf numFmtId="166" fontId="0" fillId="0" borderId="1" xfId="1" applyNumberFormat="1" applyFont="1" applyBorder="1"/>
    <xf numFmtId="0" fontId="0" fillId="0" borderId="1" xfId="0" applyFont="1" applyBorder="1"/>
    <xf numFmtId="9" fontId="0" fillId="0" borderId="0" xfId="3" applyFont="1"/>
    <xf numFmtId="166" fontId="3" fillId="0" borderId="1" xfId="1" applyNumberFormat="1" applyFont="1" applyBorder="1"/>
    <xf numFmtId="166" fontId="3" fillId="0" borderId="0" xfId="0" applyNumberFormat="1" applyFont="1"/>
    <xf numFmtId="9" fontId="0" fillId="0" borderId="0" xfId="0" applyNumberFormat="1"/>
    <xf numFmtId="166" fontId="3" fillId="0" borderId="18" xfId="0" applyNumberFormat="1" applyFont="1" applyBorder="1"/>
    <xf numFmtId="0" fontId="3" fillId="0" borderId="0" xfId="0" applyFont="1" applyAlignment="1">
      <alignment wrapText="1"/>
    </xf>
    <xf numFmtId="166" fontId="3" fillId="2" borderId="18" xfId="0" applyNumberFormat="1" applyFont="1" applyFill="1" applyBorder="1"/>
    <xf numFmtId="166" fontId="3" fillId="8" borderId="18" xfId="1" applyNumberFormat="1" applyFont="1" applyFill="1" applyBorder="1"/>
    <xf numFmtId="166" fontId="3" fillId="8" borderId="18" xfId="0" applyNumberFormat="1" applyFont="1" applyFill="1" applyBorder="1"/>
    <xf numFmtId="166" fontId="0" fillId="2" borderId="0" xfId="1" applyNumberFormat="1" applyFont="1" applyFill="1" applyAlignment="1">
      <alignment horizontal="center"/>
    </xf>
    <xf numFmtId="0" fontId="0" fillId="2" borderId="0" xfId="1" applyNumberFormat="1" applyFont="1" applyFill="1" applyAlignment="1">
      <alignment horizontal="center"/>
    </xf>
    <xf numFmtId="166" fontId="0" fillId="2" borderId="1" xfId="1" applyNumberFormat="1" applyFont="1" applyFill="1" applyBorder="1"/>
    <xf numFmtId="15" fontId="0" fillId="2" borderId="0" xfId="1" applyNumberFormat="1" applyFont="1" applyFill="1" applyAlignment="1">
      <alignment horizontal="center"/>
    </xf>
    <xf numFmtId="167" fontId="0" fillId="0" borderId="0" xfId="2" applyNumberFormat="1" applyFont="1" applyBorder="1"/>
    <xf numFmtId="166" fontId="0" fillId="2" borderId="0" xfId="0" applyNumberFormat="1" applyFill="1"/>
    <xf numFmtId="166" fontId="3" fillId="6" borderId="18" xfId="0" applyNumberFormat="1" applyFont="1" applyFill="1" applyBorder="1"/>
    <xf numFmtId="166" fontId="3" fillId="6" borderId="18" xfId="1" applyNumberFormat="1" applyFont="1" applyFill="1" applyBorder="1"/>
    <xf numFmtId="9" fontId="0" fillId="2" borderId="0" xfId="0" applyNumberFormat="1" applyFill="1"/>
    <xf numFmtId="168" fontId="0" fillId="2" borderId="0" xfId="3" applyNumberFormat="1" applyFont="1" applyFill="1"/>
    <xf numFmtId="168" fontId="3" fillId="0" borderId="0" xfId="0" applyNumberFormat="1" applyFont="1"/>
    <xf numFmtId="166" fontId="0" fillId="8" borderId="0" xfId="1" applyNumberFormat="1" applyFont="1" applyFill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workbookViewId="0"/>
  </sheetViews>
  <sheetFormatPr defaultRowHeight="14.25" x14ac:dyDescent="0.45"/>
  <cols>
    <col min="1" max="1" width="31.59765625" customWidth="1"/>
    <col min="2" max="2" width="25.6640625" bestFit="1" customWidth="1"/>
    <col min="3" max="8" width="14.33203125" customWidth="1"/>
  </cols>
  <sheetData>
    <row r="2" spans="1:10" x14ac:dyDescent="0.45">
      <c r="A2" s="29" t="s">
        <v>84</v>
      </c>
      <c r="B2" s="29"/>
      <c r="C2" s="91" t="s">
        <v>49</v>
      </c>
      <c r="D2" s="91"/>
      <c r="E2" s="91"/>
      <c r="F2" s="91"/>
      <c r="G2" s="91"/>
      <c r="H2" s="91"/>
    </row>
    <row r="3" spans="1:10" ht="42.75" x14ac:dyDescent="0.45">
      <c r="A3" s="29" t="s">
        <v>69</v>
      </c>
      <c r="B3" s="29" t="s">
        <v>68</v>
      </c>
      <c r="C3" s="30" t="s">
        <v>101</v>
      </c>
      <c r="D3" s="30" t="s">
        <v>100</v>
      </c>
      <c r="E3" s="30" t="s">
        <v>102</v>
      </c>
      <c r="F3" s="30" t="s">
        <v>103</v>
      </c>
      <c r="G3" s="30" t="s">
        <v>104</v>
      </c>
      <c r="H3" s="30" t="s">
        <v>105</v>
      </c>
    </row>
    <row r="4" spans="1:10" ht="14.65" thickBot="1" x14ac:dyDescent="0.5">
      <c r="A4" s="31"/>
      <c r="B4" s="32"/>
      <c r="C4" s="33"/>
      <c r="D4" s="33"/>
      <c r="E4" s="33"/>
      <c r="F4" s="33"/>
      <c r="G4" s="33"/>
      <c r="H4" s="33"/>
    </row>
    <row r="5" spans="1:10" ht="14.65" thickBot="1" x14ac:dyDescent="0.5">
      <c r="A5" s="34" t="s">
        <v>85</v>
      </c>
      <c r="B5" s="35"/>
      <c r="C5" s="89" t="s">
        <v>222</v>
      </c>
      <c r="D5" s="89"/>
      <c r="E5" s="89"/>
      <c r="F5" s="89"/>
      <c r="G5" s="89"/>
      <c r="H5" s="90"/>
    </row>
    <row r="6" spans="1:10" ht="12.6" customHeight="1" thickBot="1" x14ac:dyDescent="0.5">
      <c r="A6" s="31"/>
      <c r="B6" s="32"/>
      <c r="C6" s="33"/>
      <c r="D6" s="33"/>
      <c r="E6" s="33"/>
      <c r="F6" s="33"/>
      <c r="G6" s="33"/>
      <c r="H6" s="33"/>
    </row>
    <row r="7" spans="1:10" x14ac:dyDescent="0.45">
      <c r="A7" s="36" t="s">
        <v>86</v>
      </c>
      <c r="B7" s="37"/>
      <c r="C7" s="92"/>
      <c r="D7" s="92"/>
      <c r="E7" s="92"/>
      <c r="F7" s="92"/>
      <c r="G7" s="92"/>
      <c r="H7" s="93"/>
    </row>
    <row r="8" spans="1:10" x14ac:dyDescent="0.45">
      <c r="A8" s="38" t="s">
        <v>50</v>
      </c>
      <c r="B8" s="39" t="s">
        <v>58</v>
      </c>
      <c r="C8" s="40">
        <v>2500</v>
      </c>
      <c r="D8" s="53">
        <v>5000</v>
      </c>
      <c r="E8" s="40">
        <v>5000</v>
      </c>
      <c r="F8" s="40">
        <v>5000</v>
      </c>
      <c r="G8" s="40">
        <v>5000</v>
      </c>
      <c r="H8" s="41">
        <v>5000</v>
      </c>
      <c r="I8" s="23"/>
      <c r="J8" s="23"/>
    </row>
    <row r="9" spans="1:10" x14ac:dyDescent="0.45">
      <c r="A9" s="38" t="s">
        <v>51</v>
      </c>
      <c r="B9" s="39" t="s">
        <v>59</v>
      </c>
      <c r="C9" s="40">
        <v>-250</v>
      </c>
      <c r="D9" s="40">
        <v>-250</v>
      </c>
      <c r="E9" s="40">
        <v>-250</v>
      </c>
      <c r="F9" s="40">
        <v>-250</v>
      </c>
      <c r="G9" s="40">
        <v>-250</v>
      </c>
      <c r="H9" s="41">
        <v>-250</v>
      </c>
      <c r="I9" s="23"/>
      <c r="J9" s="23"/>
    </row>
    <row r="10" spans="1:10" ht="14.65" thickBot="1" x14ac:dyDescent="0.5">
      <c r="A10" s="48" t="s">
        <v>87</v>
      </c>
      <c r="B10" s="42"/>
      <c r="C10" s="43">
        <f>+C8+C9</f>
        <v>2250</v>
      </c>
      <c r="D10" s="43">
        <f>+D8+D9</f>
        <v>4750</v>
      </c>
      <c r="E10" s="43">
        <f>+E8+E9</f>
        <v>4750</v>
      </c>
      <c r="F10" s="43">
        <f t="shared" ref="F10:H10" si="0">+F8+F9</f>
        <v>4750</v>
      </c>
      <c r="G10" s="43">
        <f t="shared" si="0"/>
        <v>4750</v>
      </c>
      <c r="H10" s="44">
        <f t="shared" si="0"/>
        <v>4750</v>
      </c>
      <c r="I10" s="23"/>
      <c r="J10" s="23"/>
    </row>
    <row r="11" spans="1:10" ht="14.65" thickBot="1" x14ac:dyDescent="0.5">
      <c r="C11" s="23"/>
      <c r="D11" s="23"/>
      <c r="E11" s="23"/>
      <c r="F11" s="23"/>
      <c r="G11" s="23"/>
      <c r="H11" s="23"/>
      <c r="I11" s="23"/>
      <c r="J11" s="23"/>
    </row>
    <row r="12" spans="1:10" x14ac:dyDescent="0.45">
      <c r="A12" s="36" t="s">
        <v>90</v>
      </c>
      <c r="B12" s="45"/>
      <c r="C12" s="46"/>
      <c r="D12" s="46"/>
      <c r="E12" s="46"/>
      <c r="F12" s="46"/>
      <c r="G12" s="46"/>
      <c r="H12" s="47"/>
      <c r="I12" s="23"/>
      <c r="J12" s="23"/>
    </row>
    <row r="13" spans="1:10" x14ac:dyDescent="0.45">
      <c r="A13" s="38" t="s">
        <v>54</v>
      </c>
      <c r="B13" s="39" t="s">
        <v>60</v>
      </c>
      <c r="C13" s="40">
        <f t="shared" ref="C13:H13" si="1">7.6*12.5*52</f>
        <v>4940</v>
      </c>
      <c r="D13" s="40">
        <f t="shared" si="1"/>
        <v>4940</v>
      </c>
      <c r="E13" s="40">
        <f t="shared" si="1"/>
        <v>4940</v>
      </c>
      <c r="F13" s="40">
        <f t="shared" si="1"/>
        <v>4940</v>
      </c>
      <c r="G13" s="40">
        <f t="shared" si="1"/>
        <v>4940</v>
      </c>
      <c r="H13" s="41">
        <f t="shared" si="1"/>
        <v>4940</v>
      </c>
      <c r="I13" s="23"/>
      <c r="J13" s="23"/>
    </row>
    <row r="14" spans="1:10" x14ac:dyDescent="0.45">
      <c r="A14" s="38" t="s">
        <v>55</v>
      </c>
      <c r="B14" s="39" t="s">
        <v>61</v>
      </c>
      <c r="C14" s="40">
        <f>-25*52</f>
        <v>-1300</v>
      </c>
      <c r="D14" s="40">
        <f>-25*52</f>
        <v>-1300</v>
      </c>
      <c r="E14" s="40">
        <f>-25*52</f>
        <v>-1300</v>
      </c>
      <c r="F14" s="40">
        <f>-25*52</f>
        <v>-1300</v>
      </c>
      <c r="G14" s="40">
        <f>-25*52</f>
        <v>-1300</v>
      </c>
      <c r="H14" s="56">
        <v>-2250</v>
      </c>
      <c r="I14" s="23"/>
      <c r="J14" s="23"/>
    </row>
    <row r="15" spans="1:10" ht="14.65" thickBot="1" x14ac:dyDescent="0.5">
      <c r="A15" s="48" t="s">
        <v>88</v>
      </c>
      <c r="B15" s="42" t="s">
        <v>62</v>
      </c>
      <c r="C15" s="43">
        <f t="shared" ref="C15:H15" si="2">+C13+C14</f>
        <v>3640</v>
      </c>
      <c r="D15" s="43">
        <f t="shared" si="2"/>
        <v>3640</v>
      </c>
      <c r="E15" s="43">
        <f t="shared" si="2"/>
        <v>3640</v>
      </c>
      <c r="F15" s="43">
        <f t="shared" si="2"/>
        <v>3640</v>
      </c>
      <c r="G15" s="43">
        <f t="shared" si="2"/>
        <v>3640</v>
      </c>
      <c r="H15" s="44">
        <f t="shared" si="2"/>
        <v>2690</v>
      </c>
      <c r="I15" s="23"/>
      <c r="J15" s="23"/>
    </row>
    <row r="16" spans="1:10" ht="14.65" thickBot="1" x14ac:dyDescent="0.5">
      <c r="C16" s="23"/>
      <c r="D16" s="23"/>
      <c r="E16" s="23"/>
      <c r="F16" s="23"/>
      <c r="G16" s="23"/>
      <c r="H16" s="23"/>
      <c r="I16" s="23"/>
      <c r="J16" s="23"/>
    </row>
    <row r="17" spans="1:10" x14ac:dyDescent="0.45">
      <c r="A17" s="36" t="s">
        <v>56</v>
      </c>
      <c r="B17" s="45"/>
      <c r="C17" s="46"/>
      <c r="D17" s="46"/>
      <c r="E17" s="46"/>
      <c r="F17" s="46"/>
      <c r="G17" s="46"/>
      <c r="H17" s="47"/>
      <c r="I17" s="23"/>
      <c r="J17" s="23"/>
    </row>
    <row r="18" spans="1:10" x14ac:dyDescent="0.45">
      <c r="A18" s="38" t="s">
        <v>52</v>
      </c>
      <c r="B18" s="39" t="s">
        <v>63</v>
      </c>
      <c r="C18" s="40">
        <f t="shared" ref="C18:H18" si="3">-52*100</f>
        <v>-5200</v>
      </c>
      <c r="D18" s="40">
        <f t="shared" si="3"/>
        <v>-5200</v>
      </c>
      <c r="E18" s="40">
        <f t="shared" si="3"/>
        <v>-5200</v>
      </c>
      <c r="F18" s="40">
        <f t="shared" si="3"/>
        <v>-5200</v>
      </c>
      <c r="G18" s="40">
        <f t="shared" si="3"/>
        <v>-5200</v>
      </c>
      <c r="H18" s="41">
        <f t="shared" si="3"/>
        <v>-5200</v>
      </c>
      <c r="I18" s="23"/>
      <c r="J18" s="23"/>
    </row>
    <row r="19" spans="1:10" x14ac:dyDescent="0.45">
      <c r="A19" s="38" t="s">
        <v>57</v>
      </c>
      <c r="B19" s="39" t="s">
        <v>64</v>
      </c>
      <c r="C19" s="40">
        <f>7.6*5*52</f>
        <v>1976</v>
      </c>
      <c r="D19" s="40">
        <f>7.6*5*52</f>
        <v>1976</v>
      </c>
      <c r="E19" s="40">
        <f>7.6*5*52</f>
        <v>1976</v>
      </c>
      <c r="F19" s="40">
        <f>7.6*5*52</f>
        <v>1976</v>
      </c>
      <c r="G19" s="40">
        <f>7.6*5*52</f>
        <v>1976</v>
      </c>
      <c r="H19" s="56">
        <f t="shared" ref="H19" si="4">+H13</f>
        <v>4940</v>
      </c>
      <c r="I19" s="23"/>
      <c r="J19" s="23"/>
    </row>
    <row r="20" spans="1:10" ht="14.65" thickBot="1" x14ac:dyDescent="0.5">
      <c r="A20" s="48" t="s">
        <v>91</v>
      </c>
      <c r="B20" s="42"/>
      <c r="C20" s="43">
        <f>+C18+C19</f>
        <v>-3224</v>
      </c>
      <c r="D20" s="43">
        <f>+D18+D19</f>
        <v>-3224</v>
      </c>
      <c r="E20" s="43">
        <f t="shared" ref="E20:H20" si="5">+E18+E19</f>
        <v>-3224</v>
      </c>
      <c r="F20" s="57">
        <f t="shared" si="5"/>
        <v>-3224</v>
      </c>
      <c r="G20" s="57">
        <f t="shared" si="5"/>
        <v>-3224</v>
      </c>
      <c r="H20" s="54">
        <f t="shared" si="5"/>
        <v>-260</v>
      </c>
      <c r="I20" s="23"/>
      <c r="J20" s="23"/>
    </row>
    <row r="21" spans="1:10" x14ac:dyDescent="0.45">
      <c r="C21" s="23"/>
      <c r="D21" s="23"/>
      <c r="E21" s="23"/>
      <c r="F21" s="23"/>
      <c r="G21" s="23"/>
      <c r="H21" s="23"/>
      <c r="I21" s="23"/>
      <c r="J21" s="23"/>
    </row>
    <row r="22" spans="1:10" x14ac:dyDescent="0.45">
      <c r="A22" s="21" t="s">
        <v>65</v>
      </c>
      <c r="B22" t="s">
        <v>73</v>
      </c>
      <c r="C22" s="23">
        <v>9000</v>
      </c>
      <c r="D22" s="23">
        <v>9000</v>
      </c>
      <c r="E22" s="23">
        <v>9000</v>
      </c>
      <c r="F22" s="55">
        <v>12500</v>
      </c>
      <c r="G22" s="58">
        <v>12500</v>
      </c>
      <c r="H22" s="58">
        <v>12500</v>
      </c>
      <c r="I22" s="23"/>
      <c r="J22" s="23"/>
    </row>
    <row r="23" spans="1:10" x14ac:dyDescent="0.45">
      <c r="A23" s="21" t="s">
        <v>70</v>
      </c>
      <c r="B23" t="s">
        <v>76</v>
      </c>
      <c r="C23" s="23">
        <f t="shared" ref="C23:H23" si="6">+ROUNDDOWN(-C22+(C15*C28/12)+C10,-1)</f>
        <v>-6750</v>
      </c>
      <c r="D23" s="23">
        <f t="shared" si="6"/>
        <v>-4250</v>
      </c>
      <c r="E23" s="23">
        <f t="shared" si="6"/>
        <v>-610</v>
      </c>
      <c r="F23" s="23">
        <f t="shared" si="6"/>
        <v>-4110</v>
      </c>
      <c r="G23" s="23">
        <f t="shared" si="6"/>
        <v>-470</v>
      </c>
      <c r="H23" s="23">
        <f t="shared" si="6"/>
        <v>-2370</v>
      </c>
      <c r="I23" s="23"/>
      <c r="J23" s="23"/>
    </row>
    <row r="24" spans="1:10" x14ac:dyDescent="0.45">
      <c r="A24" s="21" t="s">
        <v>92</v>
      </c>
      <c r="C24" s="49" t="str">
        <f t="shared" ref="C24:H24" si="7">+ROUND(C28/12,0)&amp; " years"</f>
        <v>0 years</v>
      </c>
      <c r="D24" s="49" t="str">
        <f t="shared" si="7"/>
        <v>0 years</v>
      </c>
      <c r="E24" s="51" t="str">
        <f t="shared" si="7"/>
        <v>1 years</v>
      </c>
      <c r="F24" s="51" t="str">
        <f t="shared" si="7"/>
        <v>1 years</v>
      </c>
      <c r="G24" s="51" t="str">
        <f t="shared" si="7"/>
        <v>2 years</v>
      </c>
      <c r="H24" s="51" t="str">
        <f t="shared" si="7"/>
        <v>2 years</v>
      </c>
      <c r="I24" s="23"/>
      <c r="J24" s="23"/>
    </row>
    <row r="25" spans="1:10" x14ac:dyDescent="0.45">
      <c r="A25" s="21" t="s">
        <v>67</v>
      </c>
      <c r="C25" s="52" t="str">
        <f>ROUNDUP(-C23/(C15+C18+C19),0)&amp;" years"</f>
        <v>17 years</v>
      </c>
      <c r="D25" s="52" t="str">
        <f>ROUNDUP(-D23/(D15+D18+D19),0)&amp;" years"</f>
        <v>11 years</v>
      </c>
      <c r="E25" s="52" t="str">
        <f t="shared" ref="E25:H25" si="8">ROUNDUP(-E23/(E15+E18+E19),0)&amp;" years"</f>
        <v>2 years</v>
      </c>
      <c r="F25" s="52" t="str">
        <f t="shared" si="8"/>
        <v>10 years</v>
      </c>
      <c r="G25" s="52" t="str">
        <f t="shared" si="8"/>
        <v>2 years</v>
      </c>
      <c r="H25" s="52" t="str">
        <f t="shared" si="8"/>
        <v>1 years</v>
      </c>
      <c r="I25" s="23"/>
      <c r="J25" s="23"/>
    </row>
    <row r="26" spans="1:10" ht="41.1" hidden="1" customHeight="1" x14ac:dyDescent="0.45">
      <c r="A26" s="21"/>
      <c r="C26" s="26"/>
      <c r="D26" s="26"/>
      <c r="E26" s="26"/>
      <c r="F26" s="26"/>
      <c r="G26" s="26"/>
      <c r="H26" s="26"/>
      <c r="I26" s="23"/>
      <c r="J26" s="23"/>
    </row>
    <row r="27" spans="1:10" hidden="1" x14ac:dyDescent="0.45">
      <c r="A27" s="21" t="s">
        <v>66</v>
      </c>
      <c r="B27" t="s">
        <v>74</v>
      </c>
      <c r="C27" s="23">
        <f>+C22</f>
        <v>9000</v>
      </c>
      <c r="D27" s="23">
        <f>+D22</f>
        <v>9000</v>
      </c>
      <c r="E27" s="23">
        <f t="shared" ref="E27:H27" si="9">+E22</f>
        <v>9000</v>
      </c>
      <c r="F27" s="23">
        <f t="shared" si="9"/>
        <v>12500</v>
      </c>
      <c r="G27" s="23">
        <f t="shared" si="9"/>
        <v>12500</v>
      </c>
      <c r="H27" s="23">
        <f t="shared" si="9"/>
        <v>12500</v>
      </c>
      <c r="I27" s="23"/>
      <c r="J27" s="23"/>
    </row>
    <row r="28" spans="1:10" hidden="1" x14ac:dyDescent="0.45">
      <c r="A28" s="21" t="s">
        <v>71</v>
      </c>
      <c r="B28" t="s">
        <v>75</v>
      </c>
      <c r="C28" s="23">
        <v>0</v>
      </c>
      <c r="D28" s="23">
        <v>0</v>
      </c>
      <c r="E28" s="23">
        <v>12</v>
      </c>
      <c r="F28" s="23">
        <v>12</v>
      </c>
      <c r="G28" s="23">
        <v>24</v>
      </c>
      <c r="H28" s="23">
        <v>24</v>
      </c>
      <c r="I28" s="23"/>
      <c r="J28" s="23"/>
    </row>
    <row r="29" spans="1:10" hidden="1" x14ac:dyDescent="0.45">
      <c r="I29" s="23"/>
      <c r="J29" s="23"/>
    </row>
    <row r="30" spans="1:10" hidden="1" x14ac:dyDescent="0.45">
      <c r="A30" s="21"/>
      <c r="C30" s="23"/>
      <c r="D30" s="23"/>
      <c r="E30" s="23"/>
      <c r="F30" s="23"/>
      <c r="G30" s="23"/>
      <c r="H30" s="23"/>
      <c r="I30" s="23"/>
      <c r="J30" s="23"/>
    </row>
    <row r="31" spans="1:10" hidden="1" x14ac:dyDescent="0.45">
      <c r="I31" s="23"/>
      <c r="J31" s="23"/>
    </row>
    <row r="32" spans="1:10" x14ac:dyDescent="0.45">
      <c r="A32" s="21"/>
      <c r="C32" s="23"/>
      <c r="D32" s="23"/>
      <c r="E32" s="23"/>
      <c r="F32" s="23"/>
      <c r="G32" s="23"/>
      <c r="H32" s="23"/>
      <c r="I32" s="27"/>
      <c r="J32" s="23"/>
    </row>
    <row r="34" spans="1:8" x14ac:dyDescent="0.45">
      <c r="A34" s="21" t="s">
        <v>77</v>
      </c>
      <c r="E34" s="25"/>
      <c r="F34" s="25"/>
      <c r="G34" s="25"/>
      <c r="H34" s="25"/>
    </row>
    <row r="35" spans="1:8" x14ac:dyDescent="0.45">
      <c r="A35" s="28" t="s">
        <v>93</v>
      </c>
      <c r="C35" t="s">
        <v>53</v>
      </c>
      <c r="E35" s="25"/>
      <c r="F35" s="25"/>
      <c r="G35" s="25"/>
      <c r="H35" s="25"/>
    </row>
    <row r="36" spans="1:8" x14ac:dyDescent="0.45">
      <c r="A36" t="s">
        <v>78</v>
      </c>
      <c r="C36" t="s">
        <v>95</v>
      </c>
      <c r="E36" s="25"/>
      <c r="F36" s="25"/>
      <c r="G36" s="25"/>
      <c r="H36" s="25"/>
    </row>
    <row r="37" spans="1:8" x14ac:dyDescent="0.45">
      <c r="A37" t="s">
        <v>79</v>
      </c>
      <c r="C37" t="s">
        <v>96</v>
      </c>
      <c r="E37" s="26"/>
      <c r="F37" s="26"/>
      <c r="G37" s="26"/>
      <c r="H37" s="26"/>
    </row>
    <row r="38" spans="1:8" x14ac:dyDescent="0.45">
      <c r="A38" t="s">
        <v>80</v>
      </c>
      <c r="C38" t="s">
        <v>97</v>
      </c>
    </row>
    <row r="39" spans="1:8" x14ac:dyDescent="0.45">
      <c r="A39" t="s">
        <v>81</v>
      </c>
      <c r="C39" t="s">
        <v>72</v>
      </c>
    </row>
    <row r="40" spans="1:8" x14ac:dyDescent="0.45">
      <c r="A40" t="s">
        <v>89</v>
      </c>
      <c r="C40" t="s">
        <v>94</v>
      </c>
    </row>
    <row r="41" spans="1:8" x14ac:dyDescent="0.45">
      <c r="A41" t="s">
        <v>82</v>
      </c>
      <c r="C41" t="s">
        <v>99</v>
      </c>
    </row>
    <row r="42" spans="1:8" x14ac:dyDescent="0.45">
      <c r="A42" t="s">
        <v>83</v>
      </c>
      <c r="C42" t="s">
        <v>98</v>
      </c>
    </row>
  </sheetData>
  <mergeCells count="3">
    <mergeCell ref="C5:H5"/>
    <mergeCell ref="C2:H2"/>
    <mergeCell ref="C7:H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5" zoomScaleNormal="85" workbookViewId="0">
      <selection activeCell="B20" sqref="B20:B22"/>
    </sheetView>
  </sheetViews>
  <sheetFormatPr defaultRowHeight="14.25" x14ac:dyDescent="0.45"/>
  <cols>
    <col min="1" max="1" width="43.59765625" customWidth="1"/>
    <col min="2" max="2" width="11.796875" bestFit="1" customWidth="1"/>
    <col min="3" max="3" width="4.06640625" customWidth="1"/>
    <col min="4" max="4" width="19.59765625" bestFit="1" customWidth="1"/>
    <col min="5" max="10" width="13.59765625" customWidth="1"/>
  </cols>
  <sheetData>
    <row r="1" spans="1:10" x14ac:dyDescent="0.45">
      <c r="A1" s="20" t="s">
        <v>44</v>
      </c>
    </row>
    <row r="2" spans="1:10" x14ac:dyDescent="0.45">
      <c r="A2" t="s">
        <v>45</v>
      </c>
    </row>
    <row r="4" spans="1:10" x14ac:dyDescent="0.45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45">
      <c r="A5" s="3"/>
      <c r="B5" s="4"/>
      <c r="D5" s="13" t="s">
        <v>37</v>
      </c>
      <c r="E5" s="14">
        <f>B7+B8</f>
        <v>105</v>
      </c>
      <c r="F5" s="14">
        <f>E5+$B$8</f>
        <v>110</v>
      </c>
      <c r="G5" s="14">
        <f t="shared" ref="G5:J5" si="0">F5+$B$8</f>
        <v>115</v>
      </c>
      <c r="H5" s="14">
        <f t="shared" si="0"/>
        <v>120</v>
      </c>
      <c r="I5" s="14">
        <f t="shared" si="0"/>
        <v>125</v>
      </c>
      <c r="J5" s="14">
        <f t="shared" si="0"/>
        <v>130</v>
      </c>
    </row>
    <row r="6" spans="1:10" x14ac:dyDescent="0.45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45">
      <c r="A7" s="3" t="s">
        <v>17</v>
      </c>
      <c r="B7" s="5">
        <v>100</v>
      </c>
      <c r="D7" s="14" t="s">
        <v>27</v>
      </c>
      <c r="E7" s="15">
        <f t="shared" ref="E7:J7" si="1">$B$14*E5</f>
        <v>529200</v>
      </c>
      <c r="F7" s="15">
        <f t="shared" si="1"/>
        <v>554400</v>
      </c>
      <c r="G7" s="15">
        <f t="shared" si="1"/>
        <v>579600</v>
      </c>
      <c r="H7" s="15">
        <f t="shared" si="1"/>
        <v>604800</v>
      </c>
      <c r="I7" s="15">
        <f t="shared" si="1"/>
        <v>630000</v>
      </c>
      <c r="J7" s="15">
        <f t="shared" si="1"/>
        <v>655200</v>
      </c>
    </row>
    <row r="8" spans="1:10" x14ac:dyDescent="0.45">
      <c r="A8" s="3" t="s">
        <v>47</v>
      </c>
      <c r="B8" s="5">
        <v>5</v>
      </c>
      <c r="D8" s="14" t="s">
        <v>34</v>
      </c>
      <c r="E8" s="15">
        <f>$B$18*E5</f>
        <v>-472500</v>
      </c>
      <c r="F8" s="15">
        <f t="shared" ref="F8:J8" si="2">$B$18*F5</f>
        <v>-495000</v>
      </c>
      <c r="G8" s="15">
        <f t="shared" si="2"/>
        <v>-517500</v>
      </c>
      <c r="H8" s="15">
        <f t="shared" si="2"/>
        <v>-540000</v>
      </c>
      <c r="I8" s="15">
        <f t="shared" si="2"/>
        <v>-562500</v>
      </c>
      <c r="J8" s="15">
        <f t="shared" si="2"/>
        <v>-585000</v>
      </c>
    </row>
    <row r="9" spans="1:10" x14ac:dyDescent="0.45">
      <c r="A9" s="3"/>
      <c r="B9" s="4"/>
      <c r="D9" s="14" t="s">
        <v>28</v>
      </c>
      <c r="E9" s="15">
        <f>B20+B22+B21</f>
        <v>-140000</v>
      </c>
      <c r="F9" s="15">
        <f>E9</f>
        <v>-140000</v>
      </c>
      <c r="G9" s="15">
        <f t="shared" ref="G9:J9" si="3">F9</f>
        <v>-140000</v>
      </c>
      <c r="H9" s="15">
        <f t="shared" si="3"/>
        <v>-140000</v>
      </c>
      <c r="I9" s="15">
        <f t="shared" si="3"/>
        <v>-140000</v>
      </c>
      <c r="J9" s="15">
        <f t="shared" si="3"/>
        <v>-140000</v>
      </c>
    </row>
    <row r="10" spans="1:10" x14ac:dyDescent="0.45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45">
      <c r="A11" s="3" t="s">
        <v>30</v>
      </c>
      <c r="B11" s="10">
        <v>42</v>
      </c>
      <c r="D11" s="13" t="s">
        <v>35</v>
      </c>
      <c r="E11" s="15">
        <f>SUM(E7:E9)</f>
        <v>-83300</v>
      </c>
      <c r="F11" s="15">
        <f t="shared" ref="F11:J11" si="4">SUM(F7:F9)</f>
        <v>-80600</v>
      </c>
      <c r="G11" s="15">
        <f t="shared" si="4"/>
        <v>-77900</v>
      </c>
      <c r="H11" s="15">
        <f t="shared" si="4"/>
        <v>-75200</v>
      </c>
      <c r="I11" s="15">
        <f t="shared" si="4"/>
        <v>-72500</v>
      </c>
      <c r="J11" s="15">
        <f t="shared" si="4"/>
        <v>-69800</v>
      </c>
    </row>
    <row r="12" spans="1:10" x14ac:dyDescent="0.45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45">
      <c r="A13" s="18" t="s">
        <v>38</v>
      </c>
      <c r="B13" s="11">
        <v>120</v>
      </c>
      <c r="D13" s="13" t="s">
        <v>36</v>
      </c>
      <c r="E13" s="15">
        <f>'Staying Afloat information'!B25+'Scenario #4'!E11</f>
        <v>166700</v>
      </c>
      <c r="F13" s="15">
        <f>F11+E13</f>
        <v>86100</v>
      </c>
      <c r="G13" s="15">
        <f t="shared" ref="G13:J13" si="5">G11+F13</f>
        <v>8200</v>
      </c>
      <c r="H13" s="15">
        <f t="shared" si="5"/>
        <v>-67000</v>
      </c>
      <c r="I13" s="15">
        <f t="shared" si="5"/>
        <v>-139500</v>
      </c>
      <c r="J13" s="15">
        <f t="shared" si="5"/>
        <v>-209300</v>
      </c>
    </row>
    <row r="14" spans="1:10" x14ac:dyDescent="0.45">
      <c r="A14" s="3" t="s">
        <v>31</v>
      </c>
      <c r="B14" s="6">
        <f>B11*B13</f>
        <v>5040</v>
      </c>
      <c r="D14" s="17"/>
      <c r="E14" s="12"/>
      <c r="F14" s="12"/>
      <c r="G14" s="12"/>
      <c r="H14" s="12"/>
      <c r="I14" s="12"/>
      <c r="J14" s="12"/>
    </row>
    <row r="15" spans="1:10" x14ac:dyDescent="0.45">
      <c r="A15" s="3"/>
      <c r="B15" s="6"/>
      <c r="E15" s="16" t="str">
        <f t="shared" ref="E15:J15" si="6">IF(E13&lt;0,"Uh oh, insolvent","")</f>
        <v/>
      </c>
      <c r="F15" s="16" t="str">
        <f t="shared" si="6"/>
        <v/>
      </c>
      <c r="G15" s="16" t="str">
        <f t="shared" si="6"/>
        <v/>
      </c>
      <c r="H15" s="16" t="str">
        <f t="shared" si="6"/>
        <v>Uh oh, insolvent</v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45">
      <c r="A16" s="3" t="s">
        <v>29</v>
      </c>
      <c r="B16" s="10">
        <v>30</v>
      </c>
    </row>
    <row r="17" spans="1:2" x14ac:dyDescent="0.45">
      <c r="A17" s="18" t="s">
        <v>46</v>
      </c>
      <c r="B17" s="11">
        <v>150</v>
      </c>
    </row>
    <row r="18" spans="1:2" x14ac:dyDescent="0.45">
      <c r="A18" s="3" t="s">
        <v>32</v>
      </c>
      <c r="B18" s="6">
        <f>B16*-B17</f>
        <v>-4500</v>
      </c>
    </row>
    <row r="19" spans="1:2" x14ac:dyDescent="0.45">
      <c r="A19" s="3"/>
      <c r="B19" s="6"/>
    </row>
    <row r="20" spans="1:2" x14ac:dyDescent="0.45">
      <c r="A20" s="3" t="s">
        <v>18</v>
      </c>
      <c r="B20" s="6">
        <v>-100000</v>
      </c>
    </row>
    <row r="21" spans="1:2" x14ac:dyDescent="0.45">
      <c r="A21" s="19" t="s">
        <v>39</v>
      </c>
      <c r="B21" s="10">
        <v>-20000</v>
      </c>
    </row>
    <row r="22" spans="1:2" x14ac:dyDescent="0.45">
      <c r="A22" s="3" t="s">
        <v>19</v>
      </c>
      <c r="B22" s="6">
        <v>-20000</v>
      </c>
    </row>
    <row r="23" spans="1:2" x14ac:dyDescent="0.45">
      <c r="A23" s="7"/>
      <c r="B2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"/>
  <sheetViews>
    <sheetView showGridLines="0" workbookViewId="0">
      <selection activeCell="B6" sqref="B6:G6"/>
    </sheetView>
  </sheetViews>
  <sheetFormatPr defaultRowHeight="14.25" x14ac:dyDescent="0.45"/>
  <cols>
    <col min="1" max="1" width="15.46484375" bestFit="1" customWidth="1"/>
    <col min="2" max="2" width="16.86328125" customWidth="1"/>
    <col min="3" max="4" width="13.59765625" customWidth="1"/>
    <col min="5" max="6" width="10.86328125" customWidth="1"/>
    <col min="7" max="7" width="12.86328125" customWidth="1"/>
  </cols>
  <sheetData>
    <row r="4" spans="1:7" s="24" customFormat="1" x14ac:dyDescent="0.45">
      <c r="A4" s="29" t="s">
        <v>84</v>
      </c>
      <c r="B4" s="91" t="s">
        <v>49</v>
      </c>
      <c r="C4" s="91"/>
      <c r="D4" s="91"/>
      <c r="E4" s="91"/>
      <c r="F4" s="91"/>
      <c r="G4" s="91"/>
    </row>
    <row r="5" spans="1:7" ht="42.75" x14ac:dyDescent="0.45">
      <c r="A5" s="29" t="s">
        <v>69</v>
      </c>
      <c r="B5" s="30" t="s">
        <v>101</v>
      </c>
      <c r="C5" s="30" t="s">
        <v>100</v>
      </c>
      <c r="D5" s="30" t="s">
        <v>102</v>
      </c>
      <c r="E5" s="30" t="s">
        <v>103</v>
      </c>
      <c r="F5" s="30" t="s">
        <v>104</v>
      </c>
      <c r="G5" s="30" t="s">
        <v>107</v>
      </c>
    </row>
    <row r="6" spans="1:7" x14ac:dyDescent="0.45">
      <c r="A6" t="s">
        <v>106</v>
      </c>
      <c r="B6" s="50" t="str">
        <f>+'Grace''s car'!C25</f>
        <v>17 years</v>
      </c>
      <c r="C6" s="50" t="str">
        <f>+'Grace''s car'!D25</f>
        <v>11 years</v>
      </c>
      <c r="D6" s="50" t="str">
        <f>+'Grace''s car'!E25</f>
        <v>2 years</v>
      </c>
      <c r="E6" s="50" t="str">
        <f>+'Grace''s car'!F25</f>
        <v>10 years</v>
      </c>
      <c r="F6" s="50" t="str">
        <f>+'Grace''s car'!G25</f>
        <v>2 years</v>
      </c>
      <c r="G6" s="50" t="str">
        <f>+'Grace''s car'!H25</f>
        <v>1 years</v>
      </c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25" zoomScale="85" zoomScaleNormal="85" workbookViewId="0">
      <selection activeCell="B50" sqref="B50"/>
    </sheetView>
  </sheetViews>
  <sheetFormatPr defaultRowHeight="14.25" x14ac:dyDescent="0.45"/>
  <cols>
    <col min="1" max="1" width="25.53125" customWidth="1"/>
    <col min="2" max="2" width="24.06640625" style="23" customWidth="1"/>
  </cols>
  <sheetData>
    <row r="1" spans="1:2" x14ac:dyDescent="0.45">
      <c r="A1" t="s">
        <v>0</v>
      </c>
      <c r="B1" s="77" t="s">
        <v>2</v>
      </c>
    </row>
    <row r="2" spans="1:2" x14ac:dyDescent="0.45">
      <c r="A2" t="s">
        <v>1</v>
      </c>
      <c r="B2" s="78">
        <v>2018</v>
      </c>
    </row>
    <row r="4" spans="1:2" x14ac:dyDescent="0.45">
      <c r="A4" s="21" t="s">
        <v>122</v>
      </c>
    </row>
    <row r="5" spans="1:2" x14ac:dyDescent="0.45">
      <c r="A5" s="13" t="s">
        <v>6</v>
      </c>
      <c r="B5" s="66"/>
    </row>
    <row r="6" spans="1:2" x14ac:dyDescent="0.45">
      <c r="A6" s="14" t="s">
        <v>3</v>
      </c>
      <c r="B6" s="66">
        <v>500000</v>
      </c>
    </row>
    <row r="7" spans="1:2" x14ac:dyDescent="0.45">
      <c r="A7" s="14" t="s">
        <v>4</v>
      </c>
      <c r="B7" s="66">
        <v>200000</v>
      </c>
    </row>
    <row r="8" spans="1:2" x14ac:dyDescent="0.45">
      <c r="A8" s="14" t="s">
        <v>5</v>
      </c>
      <c r="B8" s="66">
        <v>50000</v>
      </c>
    </row>
    <row r="9" spans="1:2" x14ac:dyDescent="0.45">
      <c r="A9" s="14"/>
      <c r="B9" s="66"/>
    </row>
    <row r="10" spans="1:2" x14ac:dyDescent="0.45">
      <c r="A10" s="13" t="s">
        <v>7</v>
      </c>
      <c r="B10" s="66"/>
    </row>
    <row r="11" spans="1:2" x14ac:dyDescent="0.45">
      <c r="A11" s="14" t="s">
        <v>8</v>
      </c>
      <c r="B11" s="66">
        <v>2000000</v>
      </c>
    </row>
    <row r="12" spans="1:2" x14ac:dyDescent="0.45">
      <c r="A12" s="14"/>
      <c r="B12" s="66"/>
    </row>
    <row r="13" spans="1:2" x14ac:dyDescent="0.45">
      <c r="A13" s="13" t="s">
        <v>9</v>
      </c>
      <c r="B13" s="66"/>
    </row>
    <row r="14" spans="1:2" x14ac:dyDescent="0.45">
      <c r="A14" s="14" t="s">
        <v>10</v>
      </c>
      <c r="B14" s="66">
        <v>200000</v>
      </c>
    </row>
    <row r="15" spans="1:2" x14ac:dyDescent="0.45">
      <c r="A15" s="14" t="s">
        <v>11</v>
      </c>
      <c r="B15" s="66">
        <v>100000</v>
      </c>
    </row>
    <row r="16" spans="1:2" x14ac:dyDescent="0.45">
      <c r="A16" s="14" t="s">
        <v>12</v>
      </c>
      <c r="B16" s="66">
        <v>150000</v>
      </c>
    </row>
    <row r="17" spans="1:2" x14ac:dyDescent="0.45">
      <c r="A17" s="14"/>
      <c r="B17" s="66"/>
    </row>
    <row r="18" spans="1:2" x14ac:dyDescent="0.45">
      <c r="A18" s="13" t="s">
        <v>13</v>
      </c>
      <c r="B18" s="66"/>
    </row>
    <row r="19" spans="1:2" x14ac:dyDescent="0.45">
      <c r="A19" s="14" t="s">
        <v>11</v>
      </c>
      <c r="B19" s="66">
        <v>50000</v>
      </c>
    </row>
    <row r="20" spans="1:2" x14ac:dyDescent="0.45">
      <c r="A20" s="14" t="s">
        <v>12</v>
      </c>
      <c r="B20" s="66">
        <v>200000</v>
      </c>
    </row>
    <row r="21" spans="1:2" x14ac:dyDescent="0.45">
      <c r="A21" s="14"/>
      <c r="B21" s="66"/>
    </row>
    <row r="22" spans="1:2" x14ac:dyDescent="0.45">
      <c r="A22" s="13" t="s">
        <v>14</v>
      </c>
      <c r="B22" s="66"/>
    </row>
    <row r="23" spans="1:2" x14ac:dyDescent="0.45">
      <c r="A23" s="14" t="s">
        <v>15</v>
      </c>
      <c r="B23" s="66">
        <f>SUM(B6:B11)-SUM(B14:B20)</f>
        <v>2050000</v>
      </c>
    </row>
    <row r="24" spans="1:2" x14ac:dyDescent="0.45">
      <c r="A24" s="14"/>
      <c r="B24" s="66"/>
    </row>
    <row r="25" spans="1:2" x14ac:dyDescent="0.45">
      <c r="A25" s="13" t="s">
        <v>36</v>
      </c>
      <c r="B25" s="66">
        <f>B6+B7-B14-B16-B15+B8-B19</f>
        <v>250000</v>
      </c>
    </row>
    <row r="27" spans="1:2" x14ac:dyDescent="0.45">
      <c r="A27" s="21" t="s">
        <v>123</v>
      </c>
    </row>
    <row r="28" spans="1:2" x14ac:dyDescent="0.45">
      <c r="A28" s="13" t="s">
        <v>124</v>
      </c>
      <c r="B28" s="66"/>
    </row>
    <row r="29" spans="1:2" x14ac:dyDescent="0.45">
      <c r="A29" s="14" t="s">
        <v>125</v>
      </c>
      <c r="B29" s="66">
        <v>3500000</v>
      </c>
    </row>
    <row r="30" spans="1:2" x14ac:dyDescent="0.45">
      <c r="A30" s="14" t="s">
        <v>128</v>
      </c>
      <c r="B30" s="66">
        <v>600000</v>
      </c>
    </row>
    <row r="31" spans="1:2" x14ac:dyDescent="0.45">
      <c r="A31" s="14" t="s">
        <v>126</v>
      </c>
      <c r="B31" s="66">
        <f>0.015*500000</f>
        <v>7500</v>
      </c>
    </row>
    <row r="32" spans="1:2" x14ac:dyDescent="0.45">
      <c r="A32" s="14" t="s">
        <v>127</v>
      </c>
      <c r="B32" s="66">
        <v>24000</v>
      </c>
    </row>
    <row r="33" spans="1:3" x14ac:dyDescent="0.45">
      <c r="A33" s="14"/>
      <c r="B33" s="66"/>
    </row>
    <row r="34" spans="1:3" x14ac:dyDescent="0.45">
      <c r="A34" s="13" t="s">
        <v>129</v>
      </c>
      <c r="B34" s="66"/>
    </row>
    <row r="35" spans="1:3" x14ac:dyDescent="0.45">
      <c r="A35" s="14" t="s">
        <v>130</v>
      </c>
      <c r="B35" s="66">
        <v>3200000</v>
      </c>
    </row>
    <row r="36" spans="1:3" x14ac:dyDescent="0.45">
      <c r="A36" s="14" t="s">
        <v>131</v>
      </c>
      <c r="B36" s="66">
        <v>150000</v>
      </c>
    </row>
    <row r="37" spans="1:3" x14ac:dyDescent="0.45">
      <c r="A37" s="67" t="s">
        <v>132</v>
      </c>
      <c r="B37" s="66">
        <v>165000</v>
      </c>
    </row>
    <row r="38" spans="1:3" x14ac:dyDescent="0.45">
      <c r="A38" s="14" t="s">
        <v>133</v>
      </c>
      <c r="B38" s="66">
        <f>+B11*0.15</f>
        <v>300000</v>
      </c>
    </row>
    <row r="39" spans="1:3" x14ac:dyDescent="0.45">
      <c r="A39" s="14" t="s">
        <v>134</v>
      </c>
      <c r="B39" s="66">
        <v>125000</v>
      </c>
    </row>
    <row r="40" spans="1:3" x14ac:dyDescent="0.45">
      <c r="A40" s="14"/>
      <c r="B40" s="66"/>
    </row>
    <row r="41" spans="1:3" x14ac:dyDescent="0.45">
      <c r="A41" s="13" t="s">
        <v>135</v>
      </c>
      <c r="B41" s="69">
        <f>+SUM(B29:B32)-SUM(B35:B39)</f>
        <v>191500</v>
      </c>
      <c r="C41" s="68">
        <f>+B41/(SUM(B29:B32))</f>
        <v>4.6351204163136872E-2</v>
      </c>
    </row>
    <row r="42" spans="1:3" x14ac:dyDescent="0.45">
      <c r="B42"/>
    </row>
    <row r="43" spans="1:3" x14ac:dyDescent="0.45">
      <c r="B43"/>
    </row>
    <row r="44" spans="1:3" x14ac:dyDescent="0.45">
      <c r="B44"/>
    </row>
    <row r="45" spans="1:3" x14ac:dyDescent="0.45">
      <c r="B45"/>
    </row>
    <row r="46" spans="1:3" x14ac:dyDescent="0.45">
      <c r="B46"/>
    </row>
    <row r="47" spans="1:3" x14ac:dyDescent="0.45">
      <c r="B47"/>
    </row>
    <row r="48" spans="1:3" x14ac:dyDescent="0.45">
      <c r="B48"/>
    </row>
    <row r="49" spans="2:2" x14ac:dyDescent="0.45">
      <c r="B4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59" workbookViewId="0">
      <selection activeCell="D67" sqref="D67"/>
    </sheetView>
  </sheetViews>
  <sheetFormatPr defaultRowHeight="14.25" x14ac:dyDescent="0.45"/>
  <cols>
    <col min="2" max="2" width="43.86328125" bestFit="1" customWidth="1"/>
    <col min="3" max="3" width="20.46484375" bestFit="1" customWidth="1"/>
    <col min="4" max="4" width="12.265625" customWidth="1"/>
    <col min="5" max="5" width="13.46484375" bestFit="1" customWidth="1"/>
    <col min="6" max="6" width="14.59765625" customWidth="1"/>
    <col min="7" max="7" width="15.9296875" customWidth="1"/>
  </cols>
  <sheetData>
    <row r="1" spans="1:3" x14ac:dyDescent="0.45">
      <c r="A1" s="21" t="s">
        <v>108</v>
      </c>
    </row>
    <row r="2" spans="1:3" x14ac:dyDescent="0.45">
      <c r="A2" s="21" t="s">
        <v>109</v>
      </c>
    </row>
    <row r="4" spans="1:3" x14ac:dyDescent="0.45">
      <c r="A4" s="59" t="s">
        <v>110</v>
      </c>
    </row>
    <row r="5" spans="1:3" x14ac:dyDescent="0.45">
      <c r="A5" t="s">
        <v>115</v>
      </c>
    </row>
    <row r="7" spans="1:3" x14ac:dyDescent="0.45">
      <c r="B7" s="13" t="s">
        <v>6</v>
      </c>
      <c r="C7" s="14"/>
    </row>
    <row r="8" spans="1:3" x14ac:dyDescent="0.45">
      <c r="B8" s="14" t="s">
        <v>3</v>
      </c>
      <c r="C8" s="60">
        <f>+'Staying Afloat information'!B6</f>
        <v>500000</v>
      </c>
    </row>
    <row r="9" spans="1:3" x14ac:dyDescent="0.45">
      <c r="B9" s="14" t="s">
        <v>4</v>
      </c>
      <c r="C9" s="60">
        <f>+'Staying Afloat information'!B7</f>
        <v>200000</v>
      </c>
    </row>
    <row r="10" spans="1:3" x14ac:dyDescent="0.45">
      <c r="B10" s="14" t="s">
        <v>5</v>
      </c>
      <c r="C10" s="60">
        <f>+'Staying Afloat information'!B8</f>
        <v>50000</v>
      </c>
    </row>
    <row r="11" spans="1:3" x14ac:dyDescent="0.45">
      <c r="B11" s="21" t="s">
        <v>116</v>
      </c>
    </row>
    <row r="12" spans="1:3" x14ac:dyDescent="0.45">
      <c r="B12" s="13" t="s">
        <v>9</v>
      </c>
      <c r="C12" s="60"/>
    </row>
    <row r="13" spans="1:3" x14ac:dyDescent="0.45">
      <c r="B13" s="14" t="s">
        <v>10</v>
      </c>
      <c r="C13" s="60">
        <f>+-'Staying Afloat information'!B14</f>
        <v>-200000</v>
      </c>
    </row>
    <row r="14" spans="1:3" x14ac:dyDescent="0.45">
      <c r="B14" s="14" t="s">
        <v>11</v>
      </c>
      <c r="C14" s="60">
        <f>+-'Staying Afloat information'!B15</f>
        <v>-100000</v>
      </c>
    </row>
    <row r="15" spans="1:3" x14ac:dyDescent="0.45">
      <c r="B15" s="14" t="s">
        <v>12</v>
      </c>
      <c r="C15" s="60">
        <f>+-'Staying Afloat information'!B16</f>
        <v>-150000</v>
      </c>
    </row>
    <row r="16" spans="1:3" x14ac:dyDescent="0.45">
      <c r="B16" s="62" t="s">
        <v>116</v>
      </c>
    </row>
    <row r="17" spans="1:6" x14ac:dyDescent="0.45">
      <c r="B17" s="61" t="s">
        <v>117</v>
      </c>
      <c r="C17" s="60">
        <f>-'Staying Afloat information'!B19</f>
        <v>-50000</v>
      </c>
    </row>
    <row r="19" spans="1:6" x14ac:dyDescent="0.45">
      <c r="B19" s="21" t="s">
        <v>118</v>
      </c>
      <c r="C19" s="63">
        <f>+SUM(C8:C10)+SUM(C13:C15)+C17</f>
        <v>250000</v>
      </c>
    </row>
    <row r="21" spans="1:6" x14ac:dyDescent="0.45">
      <c r="A21" s="59" t="s">
        <v>114</v>
      </c>
    </row>
    <row r="22" spans="1:6" x14ac:dyDescent="0.45">
      <c r="A22" s="59" t="s">
        <v>119</v>
      </c>
    </row>
    <row r="23" spans="1:6" x14ac:dyDescent="0.45">
      <c r="A23" s="59"/>
    </row>
    <row r="24" spans="1:6" x14ac:dyDescent="0.45">
      <c r="A24" s="59"/>
      <c r="B24" s="21" t="s">
        <v>136</v>
      </c>
      <c r="C24" t="s">
        <v>142</v>
      </c>
      <c r="D24" t="s">
        <v>143</v>
      </c>
      <c r="E24" t="s">
        <v>144</v>
      </c>
      <c r="F24" t="s">
        <v>145</v>
      </c>
    </row>
    <row r="25" spans="1:6" x14ac:dyDescent="0.45">
      <c r="A25" s="59"/>
      <c r="B25" t="s">
        <v>137</v>
      </c>
      <c r="C25" t="s">
        <v>146</v>
      </c>
      <c r="D25" s="22">
        <f>72500/220/7.6</f>
        <v>43.361244019138759</v>
      </c>
      <c r="E25" s="25">
        <f>7.6*6*5</f>
        <v>227.99999999999997</v>
      </c>
      <c r="F25" s="25">
        <f>+D25*E25*1.2</f>
        <v>11863.636363636362</v>
      </c>
    </row>
    <row r="26" spans="1:6" x14ac:dyDescent="0.45">
      <c r="A26" s="59"/>
      <c r="B26" t="s">
        <v>138</v>
      </c>
      <c r="C26" t="s">
        <v>147</v>
      </c>
      <c r="D26" s="22">
        <v>85</v>
      </c>
      <c r="E26">
        <f>4*7.6*5</f>
        <v>152</v>
      </c>
      <c r="F26" s="25">
        <f t="shared" ref="F26:F29" si="0">+D26*E26*1.2</f>
        <v>15504</v>
      </c>
    </row>
    <row r="27" spans="1:6" x14ac:dyDescent="0.45">
      <c r="A27" s="59"/>
      <c r="B27" t="s">
        <v>139</v>
      </c>
      <c r="C27" t="s">
        <v>148</v>
      </c>
      <c r="D27" s="22">
        <f>55000/220/7.6</f>
        <v>32.894736842105267</v>
      </c>
      <c r="E27">
        <f>4*7.6*5</f>
        <v>152</v>
      </c>
      <c r="F27" s="25">
        <f t="shared" si="0"/>
        <v>6000.0000000000009</v>
      </c>
    </row>
    <row r="28" spans="1:6" x14ac:dyDescent="0.45">
      <c r="A28" s="59"/>
      <c r="B28" t="s">
        <v>140</v>
      </c>
      <c r="C28" t="s">
        <v>148</v>
      </c>
      <c r="D28" s="22">
        <f>55000/220/7.6</f>
        <v>32.894736842105267</v>
      </c>
      <c r="E28">
        <f>2*7.6*5</f>
        <v>76</v>
      </c>
      <c r="F28" s="25">
        <f t="shared" si="0"/>
        <v>3000.0000000000005</v>
      </c>
    </row>
    <row r="29" spans="1:6" x14ac:dyDescent="0.45">
      <c r="A29" s="59"/>
      <c r="B29" t="s">
        <v>141</v>
      </c>
      <c r="C29" t="s">
        <v>146</v>
      </c>
      <c r="D29" s="22">
        <f>72500/220/7.6</f>
        <v>43.361244019138759</v>
      </c>
      <c r="E29">
        <f>2*7.6*5</f>
        <v>76</v>
      </c>
      <c r="F29" s="25">
        <f t="shared" si="0"/>
        <v>3954.5454545454545</v>
      </c>
    </row>
    <row r="30" spans="1:6" ht="14.65" thickBot="1" x14ac:dyDescent="0.5">
      <c r="A30" s="59"/>
      <c r="F30" s="72">
        <f>SUM(F25:F29)</f>
        <v>40322.181818181816</v>
      </c>
    </row>
    <row r="31" spans="1:6" x14ac:dyDescent="0.45">
      <c r="A31" s="59"/>
    </row>
    <row r="32" spans="1:6" x14ac:dyDescent="0.45">
      <c r="A32" s="59" t="s">
        <v>120</v>
      </c>
    </row>
    <row r="33" spans="1:6" x14ac:dyDescent="0.45">
      <c r="A33" s="59"/>
    </row>
    <row r="34" spans="1:6" x14ac:dyDescent="0.45">
      <c r="A34" s="59"/>
      <c r="B34" s="21" t="s">
        <v>136</v>
      </c>
      <c r="D34" t="s">
        <v>143</v>
      </c>
      <c r="E34" t="s">
        <v>144</v>
      </c>
      <c r="F34" t="s">
        <v>145</v>
      </c>
    </row>
    <row r="35" spans="1:6" x14ac:dyDescent="0.45">
      <c r="A35" s="59"/>
      <c r="B35" t="s">
        <v>149</v>
      </c>
      <c r="F35" s="25">
        <v>50000</v>
      </c>
    </row>
    <row r="36" spans="1:6" x14ac:dyDescent="0.45">
      <c r="A36" s="59"/>
      <c r="B36" t="s">
        <v>150</v>
      </c>
      <c r="D36" s="22"/>
      <c r="F36" s="25">
        <v>35000</v>
      </c>
    </row>
    <row r="37" spans="1:6" x14ac:dyDescent="0.45">
      <c r="A37" s="59"/>
      <c r="B37" t="s">
        <v>151</v>
      </c>
      <c r="C37" t="s">
        <v>146</v>
      </c>
      <c r="D37" s="22">
        <f>72500/220/7.6</f>
        <v>43.361244019138759</v>
      </c>
      <c r="E37" s="25">
        <f>7.6*6*5</f>
        <v>227.99999999999997</v>
      </c>
      <c r="F37" s="25">
        <f>+D37*E37*1.2</f>
        <v>11863.636363636362</v>
      </c>
    </row>
    <row r="38" spans="1:6" x14ac:dyDescent="0.45">
      <c r="A38" s="59"/>
      <c r="B38" t="s">
        <v>152</v>
      </c>
      <c r="D38" s="22"/>
      <c r="F38" s="25">
        <v>25000</v>
      </c>
    </row>
    <row r="39" spans="1:6" x14ac:dyDescent="0.45">
      <c r="A39" s="59"/>
      <c r="B39" t="s">
        <v>153</v>
      </c>
      <c r="D39" s="22"/>
      <c r="F39" s="25">
        <v>25000</v>
      </c>
    </row>
    <row r="40" spans="1:6" ht="14.65" thickBot="1" x14ac:dyDescent="0.5">
      <c r="A40" s="59"/>
      <c r="F40" s="72">
        <f>SUM(F35:F39)</f>
        <v>146863.63636363635</v>
      </c>
    </row>
    <row r="41" spans="1:6" x14ac:dyDescent="0.45">
      <c r="A41" s="59"/>
    </row>
    <row r="42" spans="1:6" x14ac:dyDescent="0.45">
      <c r="A42" s="59" t="s">
        <v>121</v>
      </c>
    </row>
    <row r="43" spans="1:6" x14ac:dyDescent="0.45">
      <c r="A43" s="59"/>
    </row>
    <row r="44" spans="1:6" x14ac:dyDescent="0.45">
      <c r="A44" s="59"/>
      <c r="B44" s="21" t="s">
        <v>136</v>
      </c>
      <c r="C44" t="s">
        <v>142</v>
      </c>
      <c r="D44" t="s">
        <v>143</v>
      </c>
      <c r="E44" t="s">
        <v>144</v>
      </c>
      <c r="F44" t="s">
        <v>145</v>
      </c>
    </row>
    <row r="45" spans="1:6" x14ac:dyDescent="0.45">
      <c r="A45" s="59"/>
      <c r="B45" t="s">
        <v>154</v>
      </c>
      <c r="C45" t="s">
        <v>148</v>
      </c>
      <c r="D45" s="22">
        <f>55000/220/7.6</f>
        <v>32.894736842105267</v>
      </c>
      <c r="E45" s="25">
        <f>7.6*1*5</f>
        <v>38</v>
      </c>
      <c r="F45" s="25">
        <f>+D45*E45*1.2</f>
        <v>1500.0000000000002</v>
      </c>
    </row>
    <row r="46" spans="1:6" x14ac:dyDescent="0.45">
      <c r="A46" s="59"/>
      <c r="B46" t="s">
        <v>155</v>
      </c>
      <c r="C46" t="s">
        <v>146</v>
      </c>
      <c r="D46" s="22">
        <f>72500/220/7.6</f>
        <v>43.361244019138759</v>
      </c>
      <c r="E46">
        <f>3*7.6*5</f>
        <v>113.99999999999999</v>
      </c>
      <c r="F46" s="25">
        <f t="shared" ref="F46:F49" si="1">+D46*E46*1.2</f>
        <v>5931.8181818181811</v>
      </c>
    </row>
    <row r="47" spans="1:6" x14ac:dyDescent="0.45">
      <c r="A47" s="59"/>
      <c r="B47" t="s">
        <v>156</v>
      </c>
      <c r="C47" t="s">
        <v>146</v>
      </c>
      <c r="D47" s="22">
        <f>72500/220/7.6</f>
        <v>43.361244019138759</v>
      </c>
      <c r="E47">
        <f>4*7.6*5</f>
        <v>152</v>
      </c>
      <c r="F47" s="25">
        <f t="shared" si="1"/>
        <v>7909.090909090909</v>
      </c>
    </row>
    <row r="48" spans="1:6" x14ac:dyDescent="0.45">
      <c r="B48" t="s">
        <v>157</v>
      </c>
      <c r="C48" t="s">
        <v>148</v>
      </c>
      <c r="D48" s="22">
        <f>55000/220/7.6</f>
        <v>32.894736842105267</v>
      </c>
      <c r="E48">
        <f>2*7.6*5</f>
        <v>76</v>
      </c>
      <c r="F48" s="25">
        <f t="shared" si="1"/>
        <v>3000.0000000000005</v>
      </c>
    </row>
    <row r="49" spans="1:6" x14ac:dyDescent="0.45">
      <c r="A49" s="59"/>
      <c r="B49" t="s">
        <v>158</v>
      </c>
      <c r="C49" t="s">
        <v>146</v>
      </c>
      <c r="D49" s="22">
        <f>72500/220/7.6</f>
        <v>43.361244019138759</v>
      </c>
      <c r="E49">
        <f>2*7.6*5</f>
        <v>76</v>
      </c>
      <c r="F49" s="25">
        <f t="shared" si="1"/>
        <v>3954.5454545454545</v>
      </c>
    </row>
    <row r="50" spans="1:6" ht="14.65" thickBot="1" x14ac:dyDescent="0.5">
      <c r="A50" s="59"/>
      <c r="B50" t="s">
        <v>159</v>
      </c>
      <c r="F50" s="72">
        <f>SUM(F45:F49)</f>
        <v>22295.454545454548</v>
      </c>
    </row>
    <row r="51" spans="1:6" x14ac:dyDescent="0.45">
      <c r="A51" s="59"/>
    </row>
    <row r="53" spans="1:6" x14ac:dyDescent="0.45">
      <c r="A53" s="59" t="s">
        <v>113</v>
      </c>
    </row>
    <row r="54" spans="1:6" x14ac:dyDescent="0.45">
      <c r="A54" s="59"/>
      <c r="B54" t="s">
        <v>160</v>
      </c>
    </row>
    <row r="55" spans="1:6" x14ac:dyDescent="0.45">
      <c r="A55" s="59"/>
      <c r="B55" t="s">
        <v>205</v>
      </c>
    </row>
    <row r="56" spans="1:6" x14ac:dyDescent="0.45">
      <c r="A56" s="59"/>
    </row>
    <row r="57" spans="1:6" x14ac:dyDescent="0.45">
      <c r="A57" s="59"/>
    </row>
    <row r="58" spans="1:6" x14ac:dyDescent="0.45">
      <c r="A58" s="59"/>
    </row>
    <row r="59" spans="1:6" x14ac:dyDescent="0.45">
      <c r="A59" s="59" t="s">
        <v>161</v>
      </c>
    </row>
    <row r="60" spans="1:6" x14ac:dyDescent="0.45">
      <c r="A60" s="59"/>
      <c r="B60" t="s">
        <v>162</v>
      </c>
    </row>
    <row r="61" spans="1:6" x14ac:dyDescent="0.45">
      <c r="A61" s="59"/>
      <c r="B61" t="s">
        <v>163</v>
      </c>
    </row>
    <row r="62" spans="1:6" ht="42.75" x14ac:dyDescent="0.45">
      <c r="A62" s="59"/>
      <c r="C62" t="s">
        <v>166</v>
      </c>
      <c r="D62" s="24" t="s">
        <v>167</v>
      </c>
      <c r="E62" t="s">
        <v>26</v>
      </c>
    </row>
    <row r="63" spans="1:6" x14ac:dyDescent="0.45">
      <c r="A63" s="59"/>
      <c r="B63" t="s">
        <v>165</v>
      </c>
      <c r="C63" s="23">
        <f>+'Staying Afloat information'!B29+'Staying Afloat information'!B30+'Staying Afloat information'!B31+'Staying Afloat information'!B32</f>
        <v>4131500</v>
      </c>
      <c r="D63" s="23">
        <f>+C63/12*4*1.025</f>
        <v>1411595.8333333333</v>
      </c>
      <c r="E63" t="s">
        <v>170</v>
      </c>
    </row>
    <row r="64" spans="1:6" x14ac:dyDescent="0.45">
      <c r="A64" s="59"/>
      <c r="B64" t="s">
        <v>164</v>
      </c>
      <c r="C64" s="71">
        <f>+'Staying Afloat information'!C41</f>
        <v>4.6351204163136872E-2</v>
      </c>
      <c r="D64" s="71">
        <f>+C64-0.01</f>
        <v>3.635120416313687E-2</v>
      </c>
      <c r="E64" t="s">
        <v>171</v>
      </c>
    </row>
    <row r="65" spans="1:5" x14ac:dyDescent="0.45">
      <c r="A65" s="59"/>
      <c r="C65" s="71"/>
      <c r="D65" s="23">
        <f>+D63*D64</f>
        <v>51313.208333333321</v>
      </c>
      <c r="E65" t="s">
        <v>172</v>
      </c>
    </row>
    <row r="66" spans="1:5" x14ac:dyDescent="0.45">
      <c r="A66" s="59"/>
      <c r="B66" t="s">
        <v>169</v>
      </c>
      <c r="C66" s="71"/>
      <c r="D66" s="23">
        <f>+'Staying Afloat information'!B38/12*3</f>
        <v>75000</v>
      </c>
      <c r="E66" t="s">
        <v>173</v>
      </c>
    </row>
    <row r="67" spans="1:5" ht="14.65" thickBot="1" x14ac:dyDescent="0.5">
      <c r="A67" s="59"/>
      <c r="B67" t="s">
        <v>168</v>
      </c>
      <c r="D67" s="72">
        <f>+D65+D66</f>
        <v>126313.20833333331</v>
      </c>
      <c r="E67" t="s">
        <v>172</v>
      </c>
    </row>
    <row r="68" spans="1:5" x14ac:dyDescent="0.45">
      <c r="A68" s="59"/>
    </row>
    <row r="69" spans="1:5" x14ac:dyDescent="0.45">
      <c r="A69" s="59"/>
    </row>
    <row r="70" spans="1:5" x14ac:dyDescent="0.45">
      <c r="A70" s="59"/>
    </row>
    <row r="71" spans="1:5" x14ac:dyDescent="0.45">
      <c r="A71" s="59" t="s">
        <v>112</v>
      </c>
    </row>
    <row r="72" spans="1:5" x14ac:dyDescent="0.45">
      <c r="B72" t="s">
        <v>174</v>
      </c>
    </row>
    <row r="73" spans="1:5" x14ac:dyDescent="0.45">
      <c r="B73" t="s">
        <v>175</v>
      </c>
    </row>
    <row r="75" spans="1:5" ht="28.5" x14ac:dyDescent="0.45">
      <c r="A75" s="59" t="s">
        <v>111</v>
      </c>
      <c r="D75" s="73" t="s">
        <v>183</v>
      </c>
      <c r="E75" s="21" t="s">
        <v>184</v>
      </c>
    </row>
    <row r="76" spans="1:5" x14ac:dyDescent="0.45">
      <c r="B76" t="s">
        <v>176</v>
      </c>
      <c r="D76" s="23">
        <f>+C19</f>
        <v>250000</v>
      </c>
      <c r="E76" s="23">
        <f>+D76</f>
        <v>250000</v>
      </c>
    </row>
    <row r="77" spans="1:5" x14ac:dyDescent="0.45">
      <c r="B77" t="s">
        <v>177</v>
      </c>
      <c r="C77" t="s">
        <v>178</v>
      </c>
      <c r="D77" s="25">
        <f>-F30</f>
        <v>-40322.181818181816</v>
      </c>
      <c r="E77" s="23">
        <v>-65000</v>
      </c>
    </row>
    <row r="78" spans="1:5" x14ac:dyDescent="0.45">
      <c r="C78" t="s">
        <v>179</v>
      </c>
      <c r="D78" s="25">
        <f>-F40</f>
        <v>-146863.63636363635</v>
      </c>
      <c r="E78" s="23">
        <v>-200000</v>
      </c>
    </row>
    <row r="79" spans="1:5" x14ac:dyDescent="0.45">
      <c r="C79" t="s">
        <v>180</v>
      </c>
      <c r="D79" s="25">
        <f>-F50</f>
        <v>-22295.454545454548</v>
      </c>
      <c r="E79" s="23">
        <v>-55000</v>
      </c>
    </row>
    <row r="80" spans="1:5" x14ac:dyDescent="0.45">
      <c r="B80" t="s">
        <v>181</v>
      </c>
      <c r="D80" s="25">
        <f>+D67</f>
        <v>126313.20833333331</v>
      </c>
      <c r="E80" s="23">
        <v>75000</v>
      </c>
    </row>
    <row r="81" spans="1:7" ht="14.65" thickBot="1" x14ac:dyDescent="0.5">
      <c r="B81" t="s">
        <v>182</v>
      </c>
      <c r="D81" s="74">
        <f>+SUM(D76:D80)</f>
        <v>166831.93560606061</v>
      </c>
      <c r="E81" s="75">
        <f>+SUM(E76:E80)</f>
        <v>5000</v>
      </c>
    </row>
    <row r="84" spans="1:7" x14ac:dyDescent="0.45">
      <c r="A84" s="59" t="s">
        <v>185</v>
      </c>
    </row>
    <row r="85" spans="1:7" x14ac:dyDescent="0.45">
      <c r="B85" t="s">
        <v>186</v>
      </c>
    </row>
    <row r="86" spans="1:7" ht="42.75" x14ac:dyDescent="0.45">
      <c r="D86" s="73" t="s">
        <v>188</v>
      </c>
      <c r="E86" s="73" t="s">
        <v>189</v>
      </c>
      <c r="F86" s="73" t="s">
        <v>193</v>
      </c>
      <c r="G86" s="73" t="s">
        <v>194</v>
      </c>
    </row>
    <row r="87" spans="1:7" x14ac:dyDescent="0.45">
      <c r="B87" t="s">
        <v>187</v>
      </c>
      <c r="D87" s="25">
        <f>+D81</f>
        <v>166831.93560606061</v>
      </c>
      <c r="E87" s="25">
        <f>+D81</f>
        <v>166831.93560606061</v>
      </c>
      <c r="F87" s="25">
        <f>+E81</f>
        <v>5000</v>
      </c>
      <c r="G87" s="25">
        <f>+E81</f>
        <v>5000</v>
      </c>
    </row>
    <row r="88" spans="1:7" x14ac:dyDescent="0.45">
      <c r="B88" t="s">
        <v>190</v>
      </c>
      <c r="D88" s="23">
        <f>-('Staying Afloat information'!B29+'Staying Afloat information'!B30)/12*1.35</f>
        <v>-461250.00000000006</v>
      </c>
      <c r="E88">
        <v>0</v>
      </c>
      <c r="F88" s="25">
        <f>+D88</f>
        <v>-461250.00000000006</v>
      </c>
      <c r="G88">
        <v>0</v>
      </c>
    </row>
    <row r="89" spans="1:7" x14ac:dyDescent="0.45">
      <c r="B89" t="s">
        <v>191</v>
      </c>
      <c r="D89" s="23">
        <f>+'Staying Afloat information'!B38/12*8</f>
        <v>200000</v>
      </c>
      <c r="E89" s="23">
        <f>+D89</f>
        <v>200000</v>
      </c>
      <c r="F89" s="25">
        <f>+D89</f>
        <v>200000</v>
      </c>
      <c r="G89" s="25">
        <f>+D89</f>
        <v>200000</v>
      </c>
    </row>
    <row r="90" spans="1:7" ht="14.65" thickBot="1" x14ac:dyDescent="0.5">
      <c r="B90" t="s">
        <v>192</v>
      </c>
      <c r="D90" s="76">
        <f>+D87+D88+D89</f>
        <v>-94418.06439393945</v>
      </c>
      <c r="E90" s="74">
        <f>+E87+E88+E89</f>
        <v>366831.93560606061</v>
      </c>
      <c r="F90" s="76">
        <f>+F87+F88+F89</f>
        <v>-256250.00000000006</v>
      </c>
      <c r="G90" s="74">
        <f>+G87+G88+G89</f>
        <v>205000</v>
      </c>
    </row>
    <row r="92" spans="1:7" x14ac:dyDescent="0.45">
      <c r="D92" t="s">
        <v>195</v>
      </c>
      <c r="F92" t="s">
        <v>195</v>
      </c>
    </row>
    <row r="94" spans="1:7" x14ac:dyDescent="0.45">
      <c r="A94" s="59" t="s">
        <v>219</v>
      </c>
    </row>
    <row r="95" spans="1:7" x14ac:dyDescent="0.45">
      <c r="A95" s="59"/>
      <c r="B95" t="s">
        <v>214</v>
      </c>
      <c r="C95" s="71">
        <f>+C64</f>
        <v>4.6351204163136872E-2</v>
      </c>
    </row>
    <row r="96" spans="1:7" x14ac:dyDescent="0.45">
      <c r="A96" s="59"/>
      <c r="B96" t="s">
        <v>213</v>
      </c>
      <c r="C96" s="86">
        <v>-0.1</v>
      </c>
    </row>
    <row r="97" spans="1:7" x14ac:dyDescent="0.45">
      <c r="A97" s="59"/>
      <c r="B97" t="s">
        <v>215</v>
      </c>
      <c r="C97" s="87">
        <f>+C95+C96</f>
        <v>-5.3648795836863133E-2</v>
      </c>
    </row>
    <row r="98" spans="1:7" x14ac:dyDescent="0.45">
      <c r="A98" s="59"/>
      <c r="B98" t="s">
        <v>217</v>
      </c>
      <c r="C98" s="87">
        <v>0.35</v>
      </c>
    </row>
    <row r="99" spans="1:7" x14ac:dyDescent="0.45">
      <c r="A99" s="59"/>
    </row>
    <row r="100" spans="1:7" x14ac:dyDescent="0.45">
      <c r="B100" t="s">
        <v>220</v>
      </c>
      <c r="D100" s="25">
        <f>+D90</f>
        <v>-94418.06439393945</v>
      </c>
      <c r="E100" s="25">
        <f>+E90</f>
        <v>366831.93560606061</v>
      </c>
      <c r="F100" s="25">
        <f>+F90</f>
        <v>-256250.00000000006</v>
      </c>
      <c r="G100" s="25">
        <f>+G90</f>
        <v>205000</v>
      </c>
    </row>
    <row r="101" spans="1:7" x14ac:dyDescent="0.45">
      <c r="B101" t="s">
        <v>221</v>
      </c>
      <c r="D101" s="23">
        <f>+('Staying Afloat information'!$B$29+'Staying Afloat information'!$B$30)*(1+'Transition scenario'!$C$98)*'Transition scenario'!$C$97</f>
        <v>-296946.08495703747</v>
      </c>
      <c r="E101" s="23">
        <f>+('Staying Afloat information'!$B$29+'Staying Afloat information'!$B$30)*(1+'Transition scenario'!$C$98)*'Transition scenario'!$C$97</f>
        <v>-296946.08495703747</v>
      </c>
      <c r="F101" s="23">
        <f>+('Staying Afloat information'!$B$29+'Staying Afloat information'!$B$30)*(1+'Transition scenario'!$C$98)*'Transition scenario'!$C$97</f>
        <v>-296946.08495703747</v>
      </c>
      <c r="G101" s="23">
        <f>+('Staying Afloat information'!$B$29+'Staying Afloat information'!$B$30)*(1+'Transition scenario'!$C$98)*'Transition scenario'!$C$97</f>
        <v>-296946.08495703747</v>
      </c>
    </row>
    <row r="102" spans="1:7" x14ac:dyDescent="0.45">
      <c r="B102" t="s">
        <v>218</v>
      </c>
      <c r="D102" s="88">
        <f>+D100/-D101</f>
        <v>-0.31796366134141818</v>
      </c>
      <c r="E102" s="23">
        <f t="shared" ref="E102:G102" si="2">+E100/-E101</f>
        <v>1.2353486177773123</v>
      </c>
      <c r="F102" s="88">
        <f t="shared" si="2"/>
        <v>-0.86295126617707263</v>
      </c>
      <c r="G102" s="23">
        <f t="shared" si="2"/>
        <v>0.69036101294165797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85" zoomScaleNormal="85" workbookViewId="0">
      <selection activeCell="B1" sqref="B1"/>
    </sheetView>
  </sheetViews>
  <sheetFormatPr defaultRowHeight="14.25" x14ac:dyDescent="0.45"/>
  <cols>
    <col min="1" max="1" width="25.53125" customWidth="1"/>
    <col min="2" max="2" width="24.06640625" style="23" customWidth="1"/>
  </cols>
  <sheetData>
    <row r="1" spans="1:2" x14ac:dyDescent="0.45">
      <c r="A1" t="s">
        <v>0</v>
      </c>
      <c r="B1" s="77" t="s">
        <v>196</v>
      </c>
    </row>
    <row r="2" spans="1:2" x14ac:dyDescent="0.45">
      <c r="A2" t="s">
        <v>1</v>
      </c>
      <c r="B2" s="80">
        <v>43039</v>
      </c>
    </row>
    <row r="4" spans="1:2" x14ac:dyDescent="0.45">
      <c r="A4" s="21" t="str">
        <f>+"Balance  sheet as at "&amp;TEXT(B2,"dd/mm/yyyy")</f>
        <v>Balance  sheet as at 31/10/2017</v>
      </c>
    </row>
    <row r="5" spans="1:2" x14ac:dyDescent="0.45">
      <c r="A5" s="13" t="s">
        <v>6</v>
      </c>
      <c r="B5" s="66"/>
    </row>
    <row r="6" spans="1:2" x14ac:dyDescent="0.45">
      <c r="A6" s="14" t="s">
        <v>3</v>
      </c>
      <c r="B6" s="79">
        <v>100000</v>
      </c>
    </row>
    <row r="7" spans="1:2" x14ac:dyDescent="0.45">
      <c r="A7" s="14" t="s">
        <v>4</v>
      </c>
      <c r="B7" s="79">
        <v>200000</v>
      </c>
    </row>
    <row r="8" spans="1:2" x14ac:dyDescent="0.45">
      <c r="A8" s="14" t="s">
        <v>5</v>
      </c>
      <c r="B8" s="79">
        <v>22000</v>
      </c>
    </row>
    <row r="9" spans="1:2" x14ac:dyDescent="0.45">
      <c r="A9" s="14"/>
      <c r="B9" s="66"/>
    </row>
    <row r="10" spans="1:2" x14ac:dyDescent="0.45">
      <c r="A10" s="13" t="s">
        <v>7</v>
      </c>
      <c r="B10" s="66"/>
    </row>
    <row r="11" spans="1:2" x14ac:dyDescent="0.45">
      <c r="A11" s="14" t="s">
        <v>197</v>
      </c>
      <c r="B11" s="79"/>
    </row>
    <row r="12" spans="1:2" x14ac:dyDescent="0.45">
      <c r="A12" s="14" t="s">
        <v>198</v>
      </c>
      <c r="B12" s="79"/>
    </row>
    <row r="13" spans="1:2" x14ac:dyDescent="0.45">
      <c r="A13" s="14" t="s">
        <v>199</v>
      </c>
      <c r="B13" s="79"/>
    </row>
    <row r="14" spans="1:2" x14ac:dyDescent="0.45">
      <c r="A14" s="14"/>
      <c r="B14" s="66"/>
    </row>
    <row r="15" spans="1:2" x14ac:dyDescent="0.45">
      <c r="A15" s="13" t="s">
        <v>9</v>
      </c>
      <c r="B15" s="66"/>
    </row>
    <row r="16" spans="1:2" x14ac:dyDescent="0.45">
      <c r="A16" s="14" t="s">
        <v>10</v>
      </c>
      <c r="B16" s="79">
        <v>12300</v>
      </c>
    </row>
    <row r="17" spans="1:2" x14ac:dyDescent="0.45">
      <c r="A17" s="14" t="s">
        <v>11</v>
      </c>
      <c r="B17" s="79">
        <v>2134</v>
      </c>
    </row>
    <row r="18" spans="1:2" x14ac:dyDescent="0.45">
      <c r="A18" s="14" t="s">
        <v>12</v>
      </c>
      <c r="B18" s="79">
        <v>24684</v>
      </c>
    </row>
    <row r="19" spans="1:2" x14ac:dyDescent="0.45">
      <c r="A19" s="14" t="s">
        <v>200</v>
      </c>
      <c r="B19" s="79">
        <v>15534</v>
      </c>
    </row>
    <row r="20" spans="1:2" x14ac:dyDescent="0.45">
      <c r="A20" s="14"/>
      <c r="B20" s="66"/>
    </row>
    <row r="21" spans="1:2" x14ac:dyDescent="0.45">
      <c r="A21" s="13" t="s">
        <v>13</v>
      </c>
      <c r="B21" s="66"/>
    </row>
    <row r="22" spans="1:2" x14ac:dyDescent="0.45">
      <c r="A22" s="14" t="s">
        <v>11</v>
      </c>
      <c r="B22" s="79">
        <v>4782</v>
      </c>
    </row>
    <row r="23" spans="1:2" x14ac:dyDescent="0.45">
      <c r="A23" s="14" t="s">
        <v>12</v>
      </c>
      <c r="B23" s="79"/>
    </row>
    <row r="24" spans="1:2" x14ac:dyDescent="0.45">
      <c r="A24" s="14" t="s">
        <v>201</v>
      </c>
      <c r="B24" s="79"/>
    </row>
    <row r="25" spans="1:2" x14ac:dyDescent="0.45">
      <c r="A25" s="14"/>
      <c r="B25" s="66"/>
    </row>
    <row r="26" spans="1:2" x14ac:dyDescent="0.45">
      <c r="A26" s="13" t="s">
        <v>14</v>
      </c>
      <c r="B26" s="66"/>
    </row>
    <row r="27" spans="1:2" x14ac:dyDescent="0.45">
      <c r="A27" s="14" t="s">
        <v>15</v>
      </c>
      <c r="B27" s="79"/>
    </row>
    <row r="28" spans="1:2" x14ac:dyDescent="0.45">
      <c r="A28" s="14" t="s">
        <v>202</v>
      </c>
      <c r="B28" s="79"/>
    </row>
    <row r="29" spans="1:2" x14ac:dyDescent="0.45">
      <c r="A29" s="14" t="s">
        <v>203</v>
      </c>
      <c r="B29" s="66" t="str">
        <f>IF(SUM(B6:B13)-SUM(B16:B24)&lt;&gt;SUM(B27:B28),"Not in balance","")</f>
        <v>Not in balance</v>
      </c>
    </row>
    <row r="30" spans="1:2" x14ac:dyDescent="0.45">
      <c r="A30" s="14"/>
      <c r="B30" s="66"/>
    </row>
    <row r="31" spans="1:2" x14ac:dyDescent="0.45">
      <c r="A31" s="13" t="s">
        <v>36</v>
      </c>
      <c r="B31" s="66">
        <f>B6+B7-B16-B18-B17+B8-B22-B19</f>
        <v>262566</v>
      </c>
    </row>
    <row r="33" spans="1:3" x14ac:dyDescent="0.45">
      <c r="A33" s="21" t="str">
        <f>+"Profit and loss statement for the year ended "&amp;TEXT(B2,"dd/mm/yyyy")</f>
        <v>Profit and loss statement for the year ended 31/10/2017</v>
      </c>
    </row>
    <row r="34" spans="1:3" x14ac:dyDescent="0.45">
      <c r="A34" s="13" t="s">
        <v>124</v>
      </c>
      <c r="B34" s="66"/>
    </row>
    <row r="35" spans="1:3" x14ac:dyDescent="0.45">
      <c r="A35" s="14" t="s">
        <v>125</v>
      </c>
      <c r="B35" s="79">
        <v>500000</v>
      </c>
    </row>
    <row r="36" spans="1:3" x14ac:dyDescent="0.45">
      <c r="A36" s="14" t="s">
        <v>128</v>
      </c>
      <c r="B36" s="79"/>
    </row>
    <row r="37" spans="1:3" x14ac:dyDescent="0.45">
      <c r="A37" s="14" t="s">
        <v>126</v>
      </c>
      <c r="B37" s="79"/>
    </row>
    <row r="38" spans="1:3" x14ac:dyDescent="0.45">
      <c r="A38" s="14" t="s">
        <v>127</v>
      </c>
      <c r="B38" s="79"/>
    </row>
    <row r="39" spans="1:3" x14ac:dyDescent="0.45">
      <c r="A39" s="14"/>
      <c r="B39" s="66"/>
    </row>
    <row r="40" spans="1:3" x14ac:dyDescent="0.45">
      <c r="A40" s="13" t="s">
        <v>129</v>
      </c>
      <c r="B40" s="66"/>
    </row>
    <row r="41" spans="1:3" x14ac:dyDescent="0.45">
      <c r="A41" s="14" t="s">
        <v>130</v>
      </c>
      <c r="B41" s="79">
        <v>495000</v>
      </c>
    </row>
    <row r="42" spans="1:3" x14ac:dyDescent="0.45">
      <c r="A42" s="14" t="s">
        <v>131</v>
      </c>
      <c r="B42" s="79"/>
    </row>
    <row r="43" spans="1:3" x14ac:dyDescent="0.45">
      <c r="A43" s="67" t="s">
        <v>132</v>
      </c>
      <c r="B43" s="79"/>
    </row>
    <row r="44" spans="1:3" x14ac:dyDescent="0.45">
      <c r="A44" s="14" t="s">
        <v>133</v>
      </c>
      <c r="B44" s="79"/>
    </row>
    <row r="45" spans="1:3" x14ac:dyDescent="0.45">
      <c r="A45" s="14" t="s">
        <v>134</v>
      </c>
      <c r="B45" s="79"/>
    </row>
    <row r="46" spans="1:3" x14ac:dyDescent="0.45">
      <c r="A46" s="14"/>
      <c r="B46" s="66"/>
    </row>
    <row r="47" spans="1:3" x14ac:dyDescent="0.45">
      <c r="A47" s="13" t="s">
        <v>135</v>
      </c>
      <c r="B47" s="69">
        <f>+SUM(B35:B38)-SUM(B41:B45)</f>
        <v>5000</v>
      </c>
      <c r="C47" s="68">
        <f>+IF(B35="","",B47/(SUM(B35:B38)))</f>
        <v>0.01</v>
      </c>
    </row>
    <row r="48" spans="1:3" x14ac:dyDescent="0.45">
      <c r="B48"/>
    </row>
    <row r="49" spans="2:2" x14ac:dyDescent="0.45">
      <c r="B49"/>
    </row>
    <row r="50" spans="2:2" x14ac:dyDescent="0.45">
      <c r="B50"/>
    </row>
    <row r="51" spans="2:2" x14ac:dyDescent="0.45">
      <c r="B51"/>
    </row>
    <row r="52" spans="2:2" x14ac:dyDescent="0.45">
      <c r="B52"/>
    </row>
    <row r="53" spans="2:2" x14ac:dyDescent="0.45">
      <c r="B53"/>
    </row>
    <row r="54" spans="2:2" x14ac:dyDescent="0.45">
      <c r="B54"/>
    </row>
    <row r="55" spans="2:2" x14ac:dyDescent="0.45">
      <c r="B5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10" workbookViewId="0">
      <selection activeCell="A97" sqref="A97:G105"/>
    </sheetView>
  </sheetViews>
  <sheetFormatPr defaultRowHeight="14.25" x14ac:dyDescent="0.45"/>
  <cols>
    <col min="2" max="2" width="43.86328125" bestFit="1" customWidth="1"/>
    <col min="3" max="3" width="20.46484375" bestFit="1" customWidth="1"/>
    <col min="4" max="4" width="14.59765625" customWidth="1"/>
    <col min="5" max="5" width="13.46484375" bestFit="1" customWidth="1"/>
    <col min="6" max="6" width="14.59765625" customWidth="1"/>
    <col min="7" max="7" width="15.9296875" customWidth="1"/>
  </cols>
  <sheetData>
    <row r="1" spans="1:3" x14ac:dyDescent="0.45">
      <c r="A1" s="21" t="s">
        <v>108</v>
      </c>
    </row>
    <row r="2" spans="1:3" x14ac:dyDescent="0.45">
      <c r="A2" s="21" t="s">
        <v>109</v>
      </c>
    </row>
    <row r="4" spans="1:3" x14ac:dyDescent="0.45">
      <c r="A4" s="59" t="s">
        <v>110</v>
      </c>
    </row>
    <row r="5" spans="1:3" x14ac:dyDescent="0.45">
      <c r="A5" t="str">
        <f>'My information'!B1&amp;"  has cash or working capital of "&amp;TEXT('My information'!B31,"$#,##0")</f>
        <v>My organisation name  has cash or working capital of $262,566</v>
      </c>
    </row>
    <row r="7" spans="1:3" x14ac:dyDescent="0.45">
      <c r="B7" s="13" t="s">
        <v>6</v>
      </c>
      <c r="C7" s="14"/>
    </row>
    <row r="8" spans="1:3" x14ac:dyDescent="0.45">
      <c r="B8" s="14" t="s">
        <v>3</v>
      </c>
      <c r="C8" s="60">
        <f>+'My information'!B6</f>
        <v>100000</v>
      </c>
    </row>
    <row r="9" spans="1:3" x14ac:dyDescent="0.45">
      <c r="B9" s="14" t="s">
        <v>4</v>
      </c>
      <c r="C9" s="60">
        <f>+'My information'!B7</f>
        <v>200000</v>
      </c>
    </row>
    <row r="10" spans="1:3" x14ac:dyDescent="0.45">
      <c r="B10" s="14" t="s">
        <v>5</v>
      </c>
      <c r="C10" s="60">
        <f>+'My information'!B8</f>
        <v>22000</v>
      </c>
    </row>
    <row r="11" spans="1:3" x14ac:dyDescent="0.45">
      <c r="B11" s="39"/>
      <c r="C11" s="81"/>
    </row>
    <row r="12" spans="1:3" x14ac:dyDescent="0.45">
      <c r="B12" s="21" t="s">
        <v>116</v>
      </c>
    </row>
    <row r="13" spans="1:3" x14ac:dyDescent="0.45">
      <c r="B13" s="13" t="s">
        <v>9</v>
      </c>
      <c r="C13" s="60"/>
    </row>
    <row r="14" spans="1:3" x14ac:dyDescent="0.45">
      <c r="B14" s="14" t="s">
        <v>10</v>
      </c>
      <c r="C14" s="60">
        <f>+-'My information'!B16</f>
        <v>-12300</v>
      </c>
    </row>
    <row r="15" spans="1:3" x14ac:dyDescent="0.45">
      <c r="B15" s="14" t="s">
        <v>11</v>
      </c>
      <c r="C15" s="60">
        <f>+-'My information'!B17</f>
        <v>-2134</v>
      </c>
    </row>
    <row r="16" spans="1:3" x14ac:dyDescent="0.45">
      <c r="B16" s="14" t="s">
        <v>12</v>
      </c>
      <c r="C16" s="60">
        <f>+-'My information'!B18</f>
        <v>-24684</v>
      </c>
    </row>
    <row r="17" spans="1:6" x14ac:dyDescent="0.45">
      <c r="B17" s="14" t="s">
        <v>200</v>
      </c>
      <c r="C17" s="81">
        <f>-'My information'!B19</f>
        <v>-15534</v>
      </c>
    </row>
    <row r="18" spans="1:6" x14ac:dyDescent="0.45">
      <c r="B18" s="62" t="s">
        <v>116</v>
      </c>
    </row>
    <row r="19" spans="1:6" x14ac:dyDescent="0.45">
      <c r="B19" s="61" t="s">
        <v>117</v>
      </c>
      <c r="C19" s="60">
        <f>-'My information'!B22</f>
        <v>-4782</v>
      </c>
    </row>
    <row r="21" spans="1:6" x14ac:dyDescent="0.45">
      <c r="B21" s="21" t="s">
        <v>118</v>
      </c>
      <c r="C21" s="63">
        <f>+SUM(C8:C10)+SUM(C14:C16)+C19+C17</f>
        <v>262566</v>
      </c>
    </row>
    <row r="23" spans="1:6" x14ac:dyDescent="0.45">
      <c r="A23" s="59" t="s">
        <v>114</v>
      </c>
    </row>
    <row r="24" spans="1:6" x14ac:dyDescent="0.45">
      <c r="A24" s="59" t="s">
        <v>119</v>
      </c>
    </row>
    <row r="25" spans="1:6" x14ac:dyDescent="0.45">
      <c r="A25" s="59"/>
    </row>
    <row r="26" spans="1:6" x14ac:dyDescent="0.45">
      <c r="A26" s="59"/>
      <c r="B26" s="21" t="s">
        <v>136</v>
      </c>
      <c r="C26" t="s">
        <v>142</v>
      </c>
      <c r="D26" t="s">
        <v>143</v>
      </c>
      <c r="E26" t="s">
        <v>144</v>
      </c>
      <c r="F26" t="s">
        <v>145</v>
      </c>
    </row>
    <row r="27" spans="1:6" x14ac:dyDescent="0.45">
      <c r="A27" s="59"/>
      <c r="B27" t="s">
        <v>137</v>
      </c>
      <c r="C27" s="1"/>
      <c r="D27" s="64"/>
      <c r="E27" s="82"/>
      <c r="F27" s="25">
        <f>+D27*E27*1.2</f>
        <v>0</v>
      </c>
    </row>
    <row r="28" spans="1:6" x14ac:dyDescent="0.45">
      <c r="A28" s="59"/>
      <c r="B28" t="s">
        <v>138</v>
      </c>
      <c r="C28" s="1"/>
      <c r="D28" s="64"/>
      <c r="E28" s="1"/>
      <c r="F28" s="25">
        <f t="shared" ref="F28:F31" si="0">+D28*E28*1.2</f>
        <v>0</v>
      </c>
    </row>
    <row r="29" spans="1:6" x14ac:dyDescent="0.45">
      <c r="A29" s="59"/>
      <c r="B29" t="s">
        <v>139</v>
      </c>
      <c r="C29" s="1"/>
      <c r="D29" s="64"/>
      <c r="E29" s="1"/>
      <c r="F29" s="25">
        <f t="shared" si="0"/>
        <v>0</v>
      </c>
    </row>
    <row r="30" spans="1:6" x14ac:dyDescent="0.45">
      <c r="A30" s="59"/>
      <c r="B30" t="s">
        <v>140</v>
      </c>
      <c r="C30" s="1"/>
      <c r="D30" s="64"/>
      <c r="E30" s="1"/>
      <c r="F30" s="25">
        <f t="shared" si="0"/>
        <v>0</v>
      </c>
    </row>
    <row r="31" spans="1:6" x14ac:dyDescent="0.45">
      <c r="A31" s="59"/>
      <c r="B31" t="s">
        <v>141</v>
      </c>
      <c r="C31" s="1"/>
      <c r="D31" s="64"/>
      <c r="E31" s="1"/>
      <c r="F31" s="25">
        <f t="shared" si="0"/>
        <v>0</v>
      </c>
    </row>
    <row r="32" spans="1:6" ht="14.65" thickBot="1" x14ac:dyDescent="0.5">
      <c r="A32" s="59"/>
      <c r="F32" s="72">
        <f>SUM(F27:F31)</f>
        <v>0</v>
      </c>
    </row>
    <row r="33" spans="1:6" x14ac:dyDescent="0.45">
      <c r="A33" s="59"/>
    </row>
    <row r="34" spans="1:6" x14ac:dyDescent="0.45">
      <c r="A34" s="59" t="s">
        <v>120</v>
      </c>
    </row>
    <row r="35" spans="1:6" x14ac:dyDescent="0.45">
      <c r="A35" s="59"/>
    </row>
    <row r="36" spans="1:6" x14ac:dyDescent="0.45">
      <c r="A36" s="59"/>
      <c r="B36" s="21" t="s">
        <v>136</v>
      </c>
      <c r="D36" t="s">
        <v>143</v>
      </c>
      <c r="E36" t="s">
        <v>144</v>
      </c>
      <c r="F36" t="s">
        <v>145</v>
      </c>
    </row>
    <row r="37" spans="1:6" x14ac:dyDescent="0.45">
      <c r="A37" s="59"/>
      <c r="B37" t="s">
        <v>149</v>
      </c>
      <c r="F37" s="82"/>
    </row>
    <row r="38" spans="1:6" x14ac:dyDescent="0.45">
      <c r="A38" s="59"/>
      <c r="B38" t="s">
        <v>150</v>
      </c>
      <c r="D38" s="22"/>
      <c r="F38" s="82"/>
    </row>
    <row r="39" spans="1:6" x14ac:dyDescent="0.45">
      <c r="A39" s="59"/>
      <c r="B39" t="s">
        <v>151</v>
      </c>
      <c r="C39" t="s">
        <v>146</v>
      </c>
      <c r="D39" s="64"/>
      <c r="E39" s="82"/>
      <c r="F39" s="25">
        <f>+D39*E39*1.2</f>
        <v>0</v>
      </c>
    </row>
    <row r="40" spans="1:6" x14ac:dyDescent="0.45">
      <c r="A40" s="59"/>
      <c r="B40" t="s">
        <v>152</v>
      </c>
      <c r="D40" s="22"/>
      <c r="F40" s="82"/>
    </row>
    <row r="41" spans="1:6" x14ac:dyDescent="0.45">
      <c r="A41" s="59"/>
      <c r="B41" t="s">
        <v>153</v>
      </c>
      <c r="D41" s="22"/>
      <c r="F41" s="82"/>
    </row>
    <row r="42" spans="1:6" ht="14.65" thickBot="1" x14ac:dyDescent="0.5">
      <c r="A42" s="59"/>
      <c r="F42" s="72">
        <f>SUM(F37:F41)</f>
        <v>0</v>
      </c>
    </row>
    <row r="43" spans="1:6" x14ac:dyDescent="0.45">
      <c r="A43" s="59"/>
    </row>
    <row r="44" spans="1:6" x14ac:dyDescent="0.45">
      <c r="A44" s="59" t="s">
        <v>121</v>
      </c>
    </row>
    <row r="45" spans="1:6" x14ac:dyDescent="0.45">
      <c r="A45" s="59"/>
    </row>
    <row r="46" spans="1:6" x14ac:dyDescent="0.45">
      <c r="A46" s="59"/>
      <c r="B46" s="21" t="s">
        <v>136</v>
      </c>
      <c r="C46" t="s">
        <v>142</v>
      </c>
      <c r="D46" t="s">
        <v>143</v>
      </c>
      <c r="E46" t="s">
        <v>144</v>
      </c>
      <c r="F46" t="s">
        <v>145</v>
      </c>
    </row>
    <row r="47" spans="1:6" x14ac:dyDescent="0.45">
      <c r="A47" s="59"/>
      <c r="B47" t="s">
        <v>154</v>
      </c>
      <c r="C47" s="1"/>
      <c r="D47" s="64"/>
      <c r="E47" s="82"/>
      <c r="F47" s="25">
        <f>+D47*E47*1.2</f>
        <v>0</v>
      </c>
    </row>
    <row r="48" spans="1:6" x14ac:dyDescent="0.45">
      <c r="A48" s="59"/>
      <c r="B48" t="s">
        <v>155</v>
      </c>
      <c r="C48" s="1"/>
      <c r="D48" s="64"/>
      <c r="E48" s="1"/>
      <c r="F48" s="25">
        <f t="shared" ref="F48:F51" si="1">+D48*E48*1.2</f>
        <v>0</v>
      </c>
    </row>
    <row r="49" spans="1:6" x14ac:dyDescent="0.45">
      <c r="A49" s="59"/>
      <c r="B49" t="s">
        <v>156</v>
      </c>
      <c r="C49" s="1"/>
      <c r="D49" s="64"/>
      <c r="E49" s="1"/>
      <c r="F49" s="25">
        <f t="shared" si="1"/>
        <v>0</v>
      </c>
    </row>
    <row r="50" spans="1:6" x14ac:dyDescent="0.45">
      <c r="B50" t="s">
        <v>157</v>
      </c>
      <c r="C50" s="1"/>
      <c r="D50" s="64"/>
      <c r="E50" s="1"/>
      <c r="F50" s="25">
        <f t="shared" si="1"/>
        <v>0</v>
      </c>
    </row>
    <row r="51" spans="1:6" x14ac:dyDescent="0.45">
      <c r="A51" s="59"/>
      <c r="B51" t="s">
        <v>158</v>
      </c>
      <c r="C51" s="1"/>
      <c r="D51" s="64"/>
      <c r="E51" s="1"/>
      <c r="F51" s="25">
        <f t="shared" si="1"/>
        <v>0</v>
      </c>
    </row>
    <row r="52" spans="1:6" x14ac:dyDescent="0.45">
      <c r="A52" s="59"/>
      <c r="B52" t="s">
        <v>159</v>
      </c>
      <c r="C52" s="1"/>
      <c r="D52" s="1"/>
      <c r="E52" s="1"/>
      <c r="F52" s="70">
        <f>SUM(F47:F51)</f>
        <v>0</v>
      </c>
    </row>
    <row r="53" spans="1:6" x14ac:dyDescent="0.45">
      <c r="A53" s="59"/>
    </row>
    <row r="55" spans="1:6" x14ac:dyDescent="0.45">
      <c r="A55" s="59" t="s">
        <v>113</v>
      </c>
    </row>
    <row r="56" spans="1:6" x14ac:dyDescent="0.45">
      <c r="A56" s="59"/>
      <c r="B56" t="s">
        <v>204</v>
      </c>
    </row>
    <row r="57" spans="1:6" x14ac:dyDescent="0.45">
      <c r="A57" s="59"/>
      <c r="B57" t="s">
        <v>206</v>
      </c>
    </row>
    <row r="58" spans="1:6" x14ac:dyDescent="0.45">
      <c r="A58" s="59"/>
      <c r="B58" t="s">
        <v>207</v>
      </c>
      <c r="C58" s="1">
        <v>4</v>
      </c>
    </row>
    <row r="59" spans="1:6" x14ac:dyDescent="0.45">
      <c r="A59" s="59"/>
    </row>
    <row r="60" spans="1:6" x14ac:dyDescent="0.45">
      <c r="A60" s="59"/>
    </row>
    <row r="61" spans="1:6" x14ac:dyDescent="0.45">
      <c r="A61" s="59" t="s">
        <v>161</v>
      </c>
    </row>
    <row r="62" spans="1:6" x14ac:dyDescent="0.45">
      <c r="A62" s="59"/>
      <c r="B62" t="str">
        <f>"There will be at least "&amp;C58 &amp;" months of DHHS funded operations until implementation.  "</f>
        <v xml:space="preserve">There will be at least 4 months of DHHS funded operations until implementation.  </v>
      </c>
    </row>
    <row r="63" spans="1:6" x14ac:dyDescent="0.45">
      <c r="A63" s="59"/>
      <c r="B63" t="s">
        <v>208</v>
      </c>
    </row>
    <row r="64" spans="1:6" ht="28.5" x14ac:dyDescent="0.45">
      <c r="A64" s="59"/>
      <c r="C64" t="str">
        <f>+"Year ended "&amp;TEXT('My information'!B2,"dd/mm/yyyy")</f>
        <v>Year ended 31/10/2017</v>
      </c>
      <c r="D64" s="24" t="str">
        <f>C58&amp;" months prior to implementation"</f>
        <v>4 months prior to implementation</v>
      </c>
      <c r="E64" t="s">
        <v>26</v>
      </c>
    </row>
    <row r="65" spans="1:5" x14ac:dyDescent="0.45">
      <c r="A65" s="59"/>
      <c r="B65" t="s">
        <v>165</v>
      </c>
      <c r="C65" s="23">
        <f>+'My information'!B35+'My information'!B36+'My information'!B37+'My information'!B38</f>
        <v>500000</v>
      </c>
      <c r="D65" s="23">
        <f>+C65/12*C58*1.025</f>
        <v>170833.33333333331</v>
      </c>
      <c r="E65" t="s">
        <v>170</v>
      </c>
    </row>
    <row r="66" spans="1:5" x14ac:dyDescent="0.45">
      <c r="A66" s="59"/>
      <c r="B66" t="s">
        <v>164</v>
      </c>
      <c r="C66" s="71">
        <f>+'My information'!C47</f>
        <v>0.01</v>
      </c>
      <c r="D66" s="71">
        <f>+C66-0.01</f>
        <v>0</v>
      </c>
      <c r="E66" t="s">
        <v>171</v>
      </c>
    </row>
    <row r="67" spans="1:5" x14ac:dyDescent="0.45">
      <c r="A67" s="59"/>
      <c r="C67" s="71"/>
      <c r="D67" s="23">
        <f>+D65*D66</f>
        <v>0</v>
      </c>
      <c r="E67" t="s">
        <v>172</v>
      </c>
    </row>
    <row r="68" spans="1:5" x14ac:dyDescent="0.45">
      <c r="A68" s="59"/>
      <c r="B68" t="s">
        <v>169</v>
      </c>
      <c r="C68" s="71"/>
      <c r="D68" s="23">
        <f>+'My information'!B44/12*C58</f>
        <v>0</v>
      </c>
      <c r="E68" t="s">
        <v>173</v>
      </c>
    </row>
    <row r="69" spans="1:5" ht="14.65" thickBot="1" x14ac:dyDescent="0.5">
      <c r="A69" s="59"/>
      <c r="B69" t="s">
        <v>168</v>
      </c>
      <c r="D69" s="72">
        <f>+D67+D68</f>
        <v>0</v>
      </c>
      <c r="E69" t="s">
        <v>172</v>
      </c>
    </row>
    <row r="70" spans="1:5" x14ac:dyDescent="0.45">
      <c r="A70" s="59"/>
    </row>
    <row r="71" spans="1:5" x14ac:dyDescent="0.45">
      <c r="A71" s="59"/>
    </row>
    <row r="72" spans="1:5" x14ac:dyDescent="0.45">
      <c r="A72" s="59"/>
    </row>
    <row r="73" spans="1:5" x14ac:dyDescent="0.45">
      <c r="A73" s="59" t="s">
        <v>112</v>
      </c>
    </row>
    <row r="75" spans="1:5" x14ac:dyDescent="0.45">
      <c r="B75" t="s">
        <v>209</v>
      </c>
    </row>
    <row r="77" spans="1:5" ht="28.5" x14ac:dyDescent="0.45">
      <c r="A77" s="59" t="s">
        <v>111</v>
      </c>
      <c r="D77" s="73" t="str">
        <f>"Projected "&amp;TEXT('My information'!B2,"dd/mm/yyyy")</f>
        <v>Projected 31/10/2017</v>
      </c>
      <c r="E77" s="21" t="s">
        <v>184</v>
      </c>
    </row>
    <row r="78" spans="1:5" x14ac:dyDescent="0.45">
      <c r="B78" t="s">
        <v>176</v>
      </c>
      <c r="D78" s="23">
        <f>+C21</f>
        <v>262566</v>
      </c>
      <c r="E78" s="23">
        <f>+D78</f>
        <v>262566</v>
      </c>
    </row>
    <row r="79" spans="1:5" x14ac:dyDescent="0.45">
      <c r="B79" t="s">
        <v>177</v>
      </c>
      <c r="C79" t="s">
        <v>178</v>
      </c>
      <c r="D79" s="25">
        <f>-F32</f>
        <v>0</v>
      </c>
      <c r="E79" s="65"/>
    </row>
    <row r="80" spans="1:5" x14ac:dyDescent="0.45">
      <c r="C80" t="s">
        <v>179</v>
      </c>
      <c r="D80" s="25">
        <f>-F42</f>
        <v>0</v>
      </c>
      <c r="E80" s="65"/>
    </row>
    <row r="81" spans="1:7" x14ac:dyDescent="0.45">
      <c r="C81" t="s">
        <v>180</v>
      </c>
      <c r="D81" s="25">
        <f>-F52</f>
        <v>0</v>
      </c>
      <c r="E81" s="65"/>
    </row>
    <row r="82" spans="1:7" x14ac:dyDescent="0.45">
      <c r="B82" t="s">
        <v>181</v>
      </c>
      <c r="D82" s="25">
        <f>+D69</f>
        <v>0</v>
      </c>
      <c r="E82" s="65"/>
    </row>
    <row r="83" spans="1:7" ht="14.65" thickBot="1" x14ac:dyDescent="0.5">
      <c r="B83" t="s">
        <v>182</v>
      </c>
      <c r="D83" s="83">
        <f>+SUM(D78:D82)</f>
        <v>262566</v>
      </c>
      <c r="E83" s="84">
        <f>+SUM(E78:E82)</f>
        <v>262566</v>
      </c>
    </row>
    <row r="86" spans="1:7" x14ac:dyDescent="0.45">
      <c r="A86" s="59" t="s">
        <v>185</v>
      </c>
    </row>
    <row r="87" spans="1:7" x14ac:dyDescent="0.45">
      <c r="A87" s="59"/>
      <c r="B87" t="s">
        <v>211</v>
      </c>
      <c r="C87" s="85">
        <v>1</v>
      </c>
    </row>
    <row r="88" spans="1:7" x14ac:dyDescent="0.45">
      <c r="B88" t="str">
        <f>"The answer is it depends but if we simply assume the NDIS growth of "&amp;TEXT(C87,"0.0%") &amp;" and model for a number of claiming strategies the results are as follows:"</f>
        <v>The answer is it depends but if we simply assume the NDIS growth of 100.0% and model for a number of claiming strategies the results are as follows:</v>
      </c>
    </row>
    <row r="89" spans="1:7" ht="42.75" x14ac:dyDescent="0.45">
      <c r="D89" s="73" t="s">
        <v>188</v>
      </c>
      <c r="E89" s="73" t="s">
        <v>189</v>
      </c>
      <c r="F89" s="73" t="s">
        <v>193</v>
      </c>
      <c r="G89" s="73" t="s">
        <v>194</v>
      </c>
    </row>
    <row r="90" spans="1:7" x14ac:dyDescent="0.45">
      <c r="B90" t="s">
        <v>210</v>
      </c>
      <c r="D90" s="25">
        <f>+D83</f>
        <v>262566</v>
      </c>
      <c r="E90" s="25">
        <f>+D83</f>
        <v>262566</v>
      </c>
      <c r="F90" s="25">
        <f>+E83</f>
        <v>262566</v>
      </c>
      <c r="G90" s="25">
        <f>+E83</f>
        <v>262566</v>
      </c>
    </row>
    <row r="91" spans="1:7" x14ac:dyDescent="0.45">
      <c r="B91" t="s">
        <v>190</v>
      </c>
      <c r="D91" s="23">
        <f>-('My information'!B35+'My information'!B36)/12*(1+C87)</f>
        <v>-83333.333333333328</v>
      </c>
      <c r="E91">
        <v>0</v>
      </c>
      <c r="F91" s="25">
        <f>+D91</f>
        <v>-83333.333333333328</v>
      </c>
      <c r="G91">
        <v>0</v>
      </c>
    </row>
    <row r="92" spans="1:7" x14ac:dyDescent="0.45">
      <c r="B92" t="s">
        <v>191</v>
      </c>
      <c r="D92" s="23">
        <f>+'My information'!B44/12*8</f>
        <v>0</v>
      </c>
      <c r="E92" s="23">
        <f>+D92</f>
        <v>0</v>
      </c>
      <c r="F92" s="25">
        <f>+D92</f>
        <v>0</v>
      </c>
      <c r="G92" s="25">
        <f>+D92</f>
        <v>0</v>
      </c>
    </row>
    <row r="93" spans="1:7" ht="14.65" thickBot="1" x14ac:dyDescent="0.5">
      <c r="B93" t="s">
        <v>212</v>
      </c>
      <c r="D93" s="83">
        <f>+D90+D91+D92</f>
        <v>179232.66666666669</v>
      </c>
      <c r="E93" s="83">
        <f>+E90+E91+E92</f>
        <v>262566</v>
      </c>
      <c r="F93" s="83">
        <f>+F90+F91+F92</f>
        <v>179232.66666666669</v>
      </c>
      <c r="G93" s="83">
        <f>+G90+G91+G92</f>
        <v>262566</v>
      </c>
    </row>
    <row r="97" spans="1:7" x14ac:dyDescent="0.45">
      <c r="A97" s="59" t="s">
        <v>219</v>
      </c>
    </row>
    <row r="98" spans="1:7" x14ac:dyDescent="0.45">
      <c r="A98" s="59"/>
      <c r="B98" t="s">
        <v>214</v>
      </c>
      <c r="C98" s="71">
        <f>+C66</f>
        <v>0.01</v>
      </c>
    </row>
    <row r="99" spans="1:7" x14ac:dyDescent="0.45">
      <c r="A99" s="59"/>
      <c r="B99" t="s">
        <v>213</v>
      </c>
      <c r="C99" s="86">
        <v>-0.1</v>
      </c>
    </row>
    <row r="100" spans="1:7" x14ac:dyDescent="0.45">
      <c r="A100" s="59"/>
      <c r="B100" t="s">
        <v>215</v>
      </c>
      <c r="C100" s="87">
        <f>+C98+C99</f>
        <v>-9.0000000000000011E-2</v>
      </c>
    </row>
    <row r="101" spans="1:7" x14ac:dyDescent="0.45">
      <c r="A101" s="59"/>
      <c r="B101" t="s">
        <v>217</v>
      </c>
      <c r="C101" s="87">
        <f>+C87</f>
        <v>1</v>
      </c>
    </row>
    <row r="102" spans="1:7" x14ac:dyDescent="0.45">
      <c r="A102" s="59"/>
    </row>
    <row r="103" spans="1:7" x14ac:dyDescent="0.45">
      <c r="B103" t="s">
        <v>220</v>
      </c>
      <c r="D103" s="25">
        <f>+D93</f>
        <v>179232.66666666669</v>
      </c>
      <c r="E103" s="25">
        <f>+E93</f>
        <v>262566</v>
      </c>
      <c r="F103" s="25">
        <f>+F93</f>
        <v>179232.66666666669</v>
      </c>
      <c r="G103" s="25">
        <f>+G93</f>
        <v>262566</v>
      </c>
    </row>
    <row r="104" spans="1:7" x14ac:dyDescent="0.45">
      <c r="B104" t="s">
        <v>221</v>
      </c>
      <c r="D104" s="23">
        <f>+('My information'!$B$35+'My information'!$B$36)*(1+'My transition scenario'!$C$101)*'My transition scenario'!$C$100</f>
        <v>-90000.000000000015</v>
      </c>
      <c r="E104" s="23">
        <f>+('My information'!$B$35+'My information'!$B$36)*(1+'My transition scenario'!$C$101)*'My transition scenario'!$C$100</f>
        <v>-90000.000000000015</v>
      </c>
      <c r="F104" s="23">
        <f>+('My information'!$B$35+'My information'!$B$36)*(1+'My transition scenario'!$C$101)*'My transition scenario'!$C$100</f>
        <v>-90000.000000000015</v>
      </c>
      <c r="G104" s="23">
        <f>+('My information'!$B$35+'My information'!$B$36)*(1+'My transition scenario'!$C$101)*'My transition scenario'!$C$100</f>
        <v>-90000.000000000015</v>
      </c>
    </row>
    <row r="105" spans="1:7" x14ac:dyDescent="0.45">
      <c r="B105" t="s">
        <v>218</v>
      </c>
      <c r="D105" s="23">
        <f>+D103/-D104</f>
        <v>1.991474074074074</v>
      </c>
      <c r="E105" s="23">
        <f t="shared" ref="E105:G105" si="2">+E103/-E104</f>
        <v>2.9173999999999993</v>
      </c>
      <c r="F105" s="23">
        <f t="shared" si="2"/>
        <v>1.991474074074074</v>
      </c>
      <c r="G105" s="23">
        <f t="shared" si="2"/>
        <v>2.9173999999999993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9" sqref="B9"/>
    </sheetView>
  </sheetViews>
  <sheetFormatPr defaultRowHeight="14.25" x14ac:dyDescent="0.45"/>
  <cols>
    <col min="1" max="1" width="36.73046875" customWidth="1"/>
    <col min="2" max="2" width="11.796875" bestFit="1" customWidth="1"/>
    <col min="3" max="3" width="4.06640625" customWidth="1"/>
    <col min="4" max="4" width="19.59765625" bestFit="1" customWidth="1"/>
    <col min="5" max="10" width="13.59765625" customWidth="1"/>
  </cols>
  <sheetData>
    <row r="1" spans="1:10" x14ac:dyDescent="0.45">
      <c r="A1" s="20" t="s">
        <v>40</v>
      </c>
    </row>
    <row r="2" spans="1:10" x14ac:dyDescent="0.45">
      <c r="A2" t="s">
        <v>48</v>
      </c>
    </row>
    <row r="4" spans="1:10" x14ac:dyDescent="0.45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45">
      <c r="A5" s="3"/>
      <c r="B5" s="4"/>
      <c r="D5" s="13" t="s">
        <v>37</v>
      </c>
      <c r="E5" s="14">
        <f>B7+B8</f>
        <v>30</v>
      </c>
      <c r="F5" s="14">
        <f>E5+$B$8</f>
        <v>35</v>
      </c>
      <c r="G5" s="14">
        <f t="shared" ref="G5:J5" si="0">F5+$B$8</f>
        <v>40</v>
      </c>
      <c r="H5" s="14">
        <f t="shared" si="0"/>
        <v>45</v>
      </c>
      <c r="I5" s="14">
        <f t="shared" si="0"/>
        <v>50</v>
      </c>
      <c r="J5" s="14">
        <f t="shared" si="0"/>
        <v>55</v>
      </c>
    </row>
    <row r="6" spans="1:10" x14ac:dyDescent="0.45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45">
      <c r="A7" s="3" t="s">
        <v>17</v>
      </c>
      <c r="B7" s="5">
        <v>25</v>
      </c>
      <c r="D7" s="14" t="s">
        <v>27</v>
      </c>
      <c r="E7" s="15">
        <f>$B$13*E5</f>
        <v>181440</v>
      </c>
      <c r="F7" s="15">
        <f t="shared" ref="F7:J7" si="1">$B$13*F5</f>
        <v>211680</v>
      </c>
      <c r="G7" s="15">
        <f t="shared" si="1"/>
        <v>241920</v>
      </c>
      <c r="H7" s="15">
        <f t="shared" si="1"/>
        <v>272160</v>
      </c>
      <c r="I7" s="15">
        <f t="shared" si="1"/>
        <v>302400</v>
      </c>
      <c r="J7" s="15">
        <f t="shared" si="1"/>
        <v>332640</v>
      </c>
    </row>
    <row r="8" spans="1:10" x14ac:dyDescent="0.45">
      <c r="A8" s="3" t="s">
        <v>47</v>
      </c>
      <c r="B8" s="5">
        <v>5</v>
      </c>
      <c r="D8" s="14" t="s">
        <v>34</v>
      </c>
      <c r="E8" s="15">
        <f>$B$16*E5</f>
        <v>-129600</v>
      </c>
      <c r="F8" s="15">
        <f t="shared" ref="F8:J8" si="2">$B$16*F5</f>
        <v>-151200</v>
      </c>
      <c r="G8" s="15">
        <f t="shared" si="2"/>
        <v>-172800</v>
      </c>
      <c r="H8" s="15">
        <f t="shared" si="2"/>
        <v>-194400</v>
      </c>
      <c r="I8" s="15">
        <f t="shared" si="2"/>
        <v>-216000</v>
      </c>
      <c r="J8" s="15">
        <f t="shared" si="2"/>
        <v>-237600</v>
      </c>
    </row>
    <row r="9" spans="1:10" x14ac:dyDescent="0.45">
      <c r="A9" s="3"/>
      <c r="B9" s="4"/>
      <c r="D9" s="14" t="s">
        <v>28</v>
      </c>
      <c r="E9" s="15">
        <f>B18+B19</f>
        <v>-120000</v>
      </c>
      <c r="F9" s="15">
        <f>E9</f>
        <v>-120000</v>
      </c>
      <c r="G9" s="15">
        <f t="shared" ref="G9:J9" si="3">F9</f>
        <v>-120000</v>
      </c>
      <c r="H9" s="15">
        <f t="shared" si="3"/>
        <v>-120000</v>
      </c>
      <c r="I9" s="15">
        <f t="shared" si="3"/>
        <v>-120000</v>
      </c>
      <c r="J9" s="15">
        <f t="shared" si="3"/>
        <v>-120000</v>
      </c>
    </row>
    <row r="10" spans="1:10" x14ac:dyDescent="0.45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45">
      <c r="A11" s="3" t="s">
        <v>30</v>
      </c>
      <c r="B11" s="10">
        <v>42</v>
      </c>
      <c r="D11" s="13" t="s">
        <v>35</v>
      </c>
      <c r="E11" s="15">
        <f>SUM(E7:E9)</f>
        <v>-68160</v>
      </c>
      <c r="F11" s="15">
        <f t="shared" ref="F11:J11" si="4">SUM(F7:F9)</f>
        <v>-59520</v>
      </c>
      <c r="G11" s="15">
        <f t="shared" si="4"/>
        <v>-50880</v>
      </c>
      <c r="H11" s="15">
        <f t="shared" si="4"/>
        <v>-42240</v>
      </c>
      <c r="I11" s="15">
        <f t="shared" si="4"/>
        <v>-33600</v>
      </c>
      <c r="J11" s="15">
        <f t="shared" si="4"/>
        <v>-24960</v>
      </c>
    </row>
    <row r="12" spans="1:10" x14ac:dyDescent="0.45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45">
      <c r="A13" s="3" t="s">
        <v>31</v>
      </c>
      <c r="B13" s="6">
        <f>B11*B12</f>
        <v>6048</v>
      </c>
      <c r="D13" s="13" t="s">
        <v>36</v>
      </c>
      <c r="E13" s="15">
        <f>'Staying Afloat information'!B25+'Scenario #1 '!E11</f>
        <v>181840</v>
      </c>
      <c r="F13" s="15">
        <f>F11+E13</f>
        <v>122320</v>
      </c>
      <c r="G13" s="15">
        <f t="shared" ref="G13:J13" si="5">G11+F13</f>
        <v>71440</v>
      </c>
      <c r="H13" s="15">
        <f t="shared" si="5"/>
        <v>29200</v>
      </c>
      <c r="I13" s="15">
        <f t="shared" si="5"/>
        <v>-4400</v>
      </c>
      <c r="J13" s="15">
        <f t="shared" si="5"/>
        <v>-29360</v>
      </c>
    </row>
    <row r="14" spans="1:10" x14ac:dyDescent="0.45">
      <c r="A14" s="3"/>
      <c r="B14" s="6"/>
    </row>
    <row r="15" spans="1:10" x14ac:dyDescent="0.45">
      <c r="A15" s="3" t="s">
        <v>29</v>
      </c>
      <c r="B15" s="10">
        <v>30</v>
      </c>
      <c r="E15" s="16" t="str">
        <f>IF(E13&lt;0,"Uh oh, insolvent","")</f>
        <v/>
      </c>
      <c r="F15" s="16" t="str">
        <f t="shared" ref="F15:J15" si="6">IF(F13&lt;0,"Uh oh, insolvent","")</f>
        <v/>
      </c>
      <c r="G15" s="16" t="str">
        <f t="shared" si="6"/>
        <v/>
      </c>
      <c r="H15" s="16" t="str">
        <f t="shared" si="6"/>
        <v/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45">
      <c r="A16" s="3" t="s">
        <v>32</v>
      </c>
      <c r="B16" s="6">
        <f>B15*-B12</f>
        <v>-4320</v>
      </c>
    </row>
    <row r="17" spans="1:2" x14ac:dyDescent="0.45">
      <c r="A17" s="3"/>
      <c r="B17" s="6"/>
    </row>
    <row r="18" spans="1:2" x14ac:dyDescent="0.45">
      <c r="A18" s="3" t="s">
        <v>18</v>
      </c>
      <c r="B18" s="6">
        <v>-100000</v>
      </c>
    </row>
    <row r="19" spans="1:2" x14ac:dyDescent="0.45">
      <c r="A19" s="3" t="s">
        <v>19</v>
      </c>
      <c r="B19" s="6">
        <v>-20000</v>
      </c>
    </row>
    <row r="20" spans="1:2" x14ac:dyDescent="0.45">
      <c r="A20" s="7"/>
      <c r="B20" s="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A3" sqref="A3"/>
    </sheetView>
  </sheetViews>
  <sheetFormatPr defaultRowHeight="14.25" x14ac:dyDescent="0.45"/>
  <cols>
    <col min="1" max="1" width="43.59765625" customWidth="1"/>
    <col min="2" max="2" width="11.796875" bestFit="1" customWidth="1"/>
    <col min="3" max="3" width="4.06640625" customWidth="1"/>
    <col min="4" max="4" width="19.59765625" bestFit="1" customWidth="1"/>
    <col min="5" max="10" width="13.59765625" customWidth="1"/>
  </cols>
  <sheetData>
    <row r="1" spans="1:10" x14ac:dyDescent="0.45">
      <c r="A1" s="20" t="s">
        <v>41</v>
      </c>
    </row>
    <row r="2" spans="1:10" x14ac:dyDescent="0.45">
      <c r="A2" t="s">
        <v>216</v>
      </c>
    </row>
    <row r="4" spans="1:10" x14ac:dyDescent="0.45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45">
      <c r="A5" s="3"/>
      <c r="B5" s="4"/>
      <c r="D5" s="13" t="s">
        <v>37</v>
      </c>
      <c r="E5" s="14">
        <f>B7+B8</f>
        <v>105</v>
      </c>
      <c r="F5" s="14">
        <f>E5+$B$8</f>
        <v>110</v>
      </c>
      <c r="G5" s="14">
        <f t="shared" ref="G5:J5" si="0">F5+$B$8</f>
        <v>115</v>
      </c>
      <c r="H5" s="14">
        <f t="shared" si="0"/>
        <v>120</v>
      </c>
      <c r="I5" s="14">
        <f t="shared" si="0"/>
        <v>125</v>
      </c>
      <c r="J5" s="14">
        <f t="shared" si="0"/>
        <v>130</v>
      </c>
    </row>
    <row r="6" spans="1:10" x14ac:dyDescent="0.45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45">
      <c r="A7" s="3" t="s">
        <v>17</v>
      </c>
      <c r="B7" s="5">
        <v>100</v>
      </c>
      <c r="D7" s="14" t="s">
        <v>27</v>
      </c>
      <c r="E7" s="15">
        <f t="shared" ref="E7:J7" si="1">$B$14*E5</f>
        <v>515970</v>
      </c>
      <c r="F7" s="15">
        <f t="shared" si="1"/>
        <v>540540</v>
      </c>
      <c r="G7" s="15">
        <f t="shared" si="1"/>
        <v>565110</v>
      </c>
      <c r="H7" s="15">
        <f t="shared" si="1"/>
        <v>589680</v>
      </c>
      <c r="I7" s="15">
        <f t="shared" si="1"/>
        <v>614250</v>
      </c>
      <c r="J7" s="15">
        <f t="shared" si="1"/>
        <v>638820</v>
      </c>
    </row>
    <row r="8" spans="1:10" x14ac:dyDescent="0.45">
      <c r="A8" s="3" t="s">
        <v>47</v>
      </c>
      <c r="B8" s="5">
        <v>5</v>
      </c>
      <c r="D8" s="14" t="s">
        <v>34</v>
      </c>
      <c r="E8" s="15">
        <f>$B$17*E5</f>
        <v>-453600</v>
      </c>
      <c r="F8" s="15">
        <f t="shared" ref="F8:J8" si="2">$B$17*F5</f>
        <v>-475200</v>
      </c>
      <c r="G8" s="15">
        <f t="shared" si="2"/>
        <v>-496800</v>
      </c>
      <c r="H8" s="15">
        <f t="shared" si="2"/>
        <v>-518400</v>
      </c>
      <c r="I8" s="15">
        <f t="shared" si="2"/>
        <v>-540000</v>
      </c>
      <c r="J8" s="15">
        <f t="shared" si="2"/>
        <v>-561600</v>
      </c>
    </row>
    <row r="9" spans="1:10" x14ac:dyDescent="0.45">
      <c r="A9" s="3"/>
      <c r="B9" s="4"/>
      <c r="D9" s="14" t="s">
        <v>28</v>
      </c>
      <c r="E9" s="15">
        <f>B19+B20</f>
        <v>-120000</v>
      </c>
      <c r="F9" s="15">
        <f>E9</f>
        <v>-120000</v>
      </c>
      <c r="G9" s="15">
        <f t="shared" ref="G9:J9" si="3">F9</f>
        <v>-120000</v>
      </c>
      <c r="H9" s="15">
        <f t="shared" si="3"/>
        <v>-120000</v>
      </c>
      <c r="I9" s="15">
        <f t="shared" si="3"/>
        <v>-120000</v>
      </c>
      <c r="J9" s="15">
        <f t="shared" si="3"/>
        <v>-120000</v>
      </c>
    </row>
    <row r="10" spans="1:10" x14ac:dyDescent="0.45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45">
      <c r="A11" s="3" t="s">
        <v>30</v>
      </c>
      <c r="B11" s="10">
        <v>42</v>
      </c>
      <c r="D11" s="13" t="s">
        <v>35</v>
      </c>
      <c r="E11" s="15">
        <f>SUM(E7:E9)</f>
        <v>-57630</v>
      </c>
      <c r="F11" s="15">
        <f t="shared" ref="F11:J11" si="4">SUM(F7:F9)</f>
        <v>-54660</v>
      </c>
      <c r="G11" s="15">
        <f t="shared" si="4"/>
        <v>-51690</v>
      </c>
      <c r="H11" s="15">
        <f t="shared" si="4"/>
        <v>-48720</v>
      </c>
      <c r="I11" s="15">
        <f t="shared" si="4"/>
        <v>-45750</v>
      </c>
      <c r="J11" s="15">
        <f t="shared" si="4"/>
        <v>-42780</v>
      </c>
    </row>
    <row r="12" spans="1:10" x14ac:dyDescent="0.45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45">
      <c r="A13" s="19" t="s">
        <v>38</v>
      </c>
      <c r="B13" s="11">
        <v>117</v>
      </c>
      <c r="D13" s="13" t="s">
        <v>36</v>
      </c>
      <c r="E13" s="15">
        <f>'Staying Afloat information'!B25+'Scenario #2'!E11</f>
        <v>192370</v>
      </c>
      <c r="F13" s="15">
        <f>F11+E13</f>
        <v>137710</v>
      </c>
      <c r="G13" s="15">
        <f t="shared" ref="G13:J13" si="5">G11+F13</f>
        <v>86020</v>
      </c>
      <c r="H13" s="15">
        <f t="shared" si="5"/>
        <v>37300</v>
      </c>
      <c r="I13" s="15">
        <f t="shared" si="5"/>
        <v>-8450</v>
      </c>
      <c r="J13" s="15">
        <f t="shared" si="5"/>
        <v>-51230</v>
      </c>
    </row>
    <row r="14" spans="1:10" x14ac:dyDescent="0.45">
      <c r="A14" s="3" t="s">
        <v>31</v>
      </c>
      <c r="B14" s="6">
        <f>B11*B13</f>
        <v>4914</v>
      </c>
      <c r="D14" s="17"/>
      <c r="E14" s="12"/>
      <c r="F14" s="12"/>
      <c r="G14" s="12"/>
      <c r="H14" s="12"/>
      <c r="I14" s="12"/>
      <c r="J14" s="12"/>
    </row>
    <row r="15" spans="1:10" x14ac:dyDescent="0.45">
      <c r="A15" s="3"/>
      <c r="B15" s="6"/>
      <c r="E15" s="16" t="str">
        <f t="shared" ref="E15:J15" si="6">IF(E13&lt;0,"Uh oh, insolvent","")</f>
        <v/>
      </c>
      <c r="F15" s="16" t="str">
        <f t="shared" si="6"/>
        <v/>
      </c>
      <c r="G15" s="16" t="str">
        <f t="shared" si="6"/>
        <v/>
      </c>
      <c r="H15" s="16" t="str">
        <f t="shared" si="6"/>
        <v/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45">
      <c r="A16" s="3" t="s">
        <v>29</v>
      </c>
      <c r="B16" s="10">
        <v>30</v>
      </c>
    </row>
    <row r="17" spans="1:2" x14ac:dyDescent="0.45">
      <c r="A17" s="3" t="s">
        <v>32</v>
      </c>
      <c r="B17" s="6">
        <f>B16*-B12</f>
        <v>-4320</v>
      </c>
    </row>
    <row r="18" spans="1:2" x14ac:dyDescent="0.45">
      <c r="A18" s="3"/>
      <c r="B18" s="6"/>
    </row>
    <row r="19" spans="1:2" x14ac:dyDescent="0.45">
      <c r="A19" s="3" t="s">
        <v>18</v>
      </c>
      <c r="B19" s="6">
        <v>-100000</v>
      </c>
    </row>
    <row r="20" spans="1:2" x14ac:dyDescent="0.45">
      <c r="A20" s="3" t="s">
        <v>19</v>
      </c>
      <c r="B20" s="6">
        <v>-20000</v>
      </c>
    </row>
    <row r="21" spans="1:2" x14ac:dyDescent="0.45">
      <c r="A21" s="7"/>
      <c r="B2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B17" sqref="B17"/>
    </sheetView>
  </sheetViews>
  <sheetFormatPr defaultRowHeight="14.25" x14ac:dyDescent="0.45"/>
  <cols>
    <col min="1" max="1" width="43.59765625" customWidth="1"/>
    <col min="2" max="2" width="11.796875" bestFit="1" customWidth="1"/>
    <col min="3" max="3" width="4.06640625" customWidth="1"/>
    <col min="4" max="4" width="19.59765625" bestFit="1" customWidth="1"/>
    <col min="5" max="10" width="13.59765625" customWidth="1"/>
  </cols>
  <sheetData>
    <row r="1" spans="1:10" x14ac:dyDescent="0.45">
      <c r="A1" s="20" t="s">
        <v>43</v>
      </c>
    </row>
    <row r="2" spans="1:10" x14ac:dyDescent="0.45">
      <c r="A2" t="s">
        <v>42</v>
      </c>
    </row>
    <row r="4" spans="1:10" x14ac:dyDescent="0.45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45">
      <c r="A5" s="3"/>
      <c r="B5" s="4"/>
      <c r="D5" s="13" t="s">
        <v>37</v>
      </c>
      <c r="E5" s="14">
        <f>B7+B8</f>
        <v>105</v>
      </c>
      <c r="F5" s="14">
        <f>E5+$B$8</f>
        <v>110</v>
      </c>
      <c r="G5" s="14">
        <f t="shared" ref="G5:J5" si="0">F5+$B$8</f>
        <v>115</v>
      </c>
      <c r="H5" s="14">
        <f t="shared" si="0"/>
        <v>120</v>
      </c>
      <c r="I5" s="14">
        <f t="shared" si="0"/>
        <v>125</v>
      </c>
      <c r="J5" s="14">
        <f t="shared" si="0"/>
        <v>130</v>
      </c>
    </row>
    <row r="6" spans="1:10" x14ac:dyDescent="0.45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45">
      <c r="A7" s="3" t="s">
        <v>17</v>
      </c>
      <c r="B7" s="5">
        <v>100</v>
      </c>
      <c r="D7" s="14" t="s">
        <v>27</v>
      </c>
      <c r="E7" s="15">
        <f t="shared" ref="E7:J7" si="1">$B$14*E5</f>
        <v>529200</v>
      </c>
      <c r="F7" s="15">
        <f t="shared" si="1"/>
        <v>554400</v>
      </c>
      <c r="G7" s="15">
        <f t="shared" si="1"/>
        <v>579600</v>
      </c>
      <c r="H7" s="15">
        <f t="shared" si="1"/>
        <v>604800</v>
      </c>
      <c r="I7" s="15">
        <f t="shared" si="1"/>
        <v>630000</v>
      </c>
      <c r="J7" s="15">
        <f t="shared" si="1"/>
        <v>655200</v>
      </c>
    </row>
    <row r="8" spans="1:10" x14ac:dyDescent="0.45">
      <c r="A8" s="3" t="s">
        <v>47</v>
      </c>
      <c r="B8" s="5">
        <v>5</v>
      </c>
      <c r="D8" s="14" t="s">
        <v>34</v>
      </c>
      <c r="E8" s="15">
        <f>$B$18*E5</f>
        <v>-472500</v>
      </c>
      <c r="F8" s="15">
        <f t="shared" ref="F8:J8" si="2">$B$18*F5</f>
        <v>-495000</v>
      </c>
      <c r="G8" s="15">
        <f t="shared" si="2"/>
        <v>-517500</v>
      </c>
      <c r="H8" s="15">
        <f t="shared" si="2"/>
        <v>-540000</v>
      </c>
      <c r="I8" s="15">
        <f t="shared" si="2"/>
        <v>-562500</v>
      </c>
      <c r="J8" s="15">
        <f t="shared" si="2"/>
        <v>-585000</v>
      </c>
    </row>
    <row r="9" spans="1:10" x14ac:dyDescent="0.45">
      <c r="A9" s="3"/>
      <c r="B9" s="4"/>
      <c r="D9" s="14" t="s">
        <v>28</v>
      </c>
      <c r="E9" s="15">
        <f>B20+B21</f>
        <v>-120000</v>
      </c>
      <c r="F9" s="15">
        <f>E9</f>
        <v>-120000</v>
      </c>
      <c r="G9" s="15">
        <f t="shared" ref="G9:J9" si="3">F9</f>
        <v>-120000</v>
      </c>
      <c r="H9" s="15">
        <f t="shared" si="3"/>
        <v>-120000</v>
      </c>
      <c r="I9" s="15">
        <f t="shared" si="3"/>
        <v>-120000</v>
      </c>
      <c r="J9" s="15">
        <f t="shared" si="3"/>
        <v>-120000</v>
      </c>
    </row>
    <row r="10" spans="1:10" x14ac:dyDescent="0.45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45">
      <c r="A11" s="3" t="s">
        <v>30</v>
      </c>
      <c r="B11" s="10">
        <v>42</v>
      </c>
      <c r="D11" s="13" t="s">
        <v>35</v>
      </c>
      <c r="E11" s="15">
        <f>SUM(E7:E9)</f>
        <v>-63300</v>
      </c>
      <c r="F11" s="15">
        <f t="shared" ref="F11:J11" si="4">SUM(F7:F9)</f>
        <v>-60600</v>
      </c>
      <c r="G11" s="15">
        <f t="shared" si="4"/>
        <v>-57900</v>
      </c>
      <c r="H11" s="15">
        <f t="shared" si="4"/>
        <v>-55200</v>
      </c>
      <c r="I11" s="15">
        <f t="shared" si="4"/>
        <v>-52500</v>
      </c>
      <c r="J11" s="15">
        <f t="shared" si="4"/>
        <v>-49800</v>
      </c>
    </row>
    <row r="12" spans="1:10" x14ac:dyDescent="0.45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45">
      <c r="A13" s="18" t="s">
        <v>38</v>
      </c>
      <c r="B13" s="11">
        <v>120</v>
      </c>
      <c r="D13" s="13" t="s">
        <v>36</v>
      </c>
      <c r="E13" s="15">
        <f>'Staying Afloat information'!B25+'Scenario #3'!E11</f>
        <v>186700</v>
      </c>
      <c r="F13" s="15">
        <f>F11+E13</f>
        <v>126100</v>
      </c>
      <c r="G13" s="15">
        <f t="shared" ref="G13:J13" si="5">G11+F13</f>
        <v>68200</v>
      </c>
      <c r="H13" s="15">
        <f t="shared" si="5"/>
        <v>13000</v>
      </c>
      <c r="I13" s="15">
        <f t="shared" si="5"/>
        <v>-39500</v>
      </c>
      <c r="J13" s="15">
        <f t="shared" si="5"/>
        <v>-89300</v>
      </c>
    </row>
    <row r="14" spans="1:10" x14ac:dyDescent="0.45">
      <c r="A14" s="3" t="s">
        <v>31</v>
      </c>
      <c r="B14" s="6">
        <f>B11*B13</f>
        <v>5040</v>
      </c>
      <c r="D14" s="17"/>
      <c r="E14" s="12"/>
      <c r="F14" s="12"/>
      <c r="G14" s="12"/>
      <c r="H14" s="12"/>
      <c r="I14" s="12"/>
      <c r="J14" s="12"/>
    </row>
    <row r="15" spans="1:10" x14ac:dyDescent="0.45">
      <c r="A15" s="3"/>
      <c r="B15" s="6"/>
      <c r="E15" s="16" t="str">
        <f t="shared" ref="E15:J15" si="6">IF(E13&lt;0,"Uh oh, insolvent","")</f>
        <v/>
      </c>
      <c r="F15" s="16" t="str">
        <f t="shared" si="6"/>
        <v/>
      </c>
      <c r="G15" s="16" t="str">
        <f t="shared" si="6"/>
        <v/>
      </c>
      <c r="H15" s="16" t="str">
        <f t="shared" si="6"/>
        <v/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45">
      <c r="A16" s="3" t="s">
        <v>29</v>
      </c>
      <c r="B16" s="10">
        <v>30</v>
      </c>
    </row>
    <row r="17" spans="1:2" x14ac:dyDescent="0.45">
      <c r="A17" s="19" t="s">
        <v>46</v>
      </c>
      <c r="B17" s="11">
        <v>150</v>
      </c>
    </row>
    <row r="18" spans="1:2" x14ac:dyDescent="0.45">
      <c r="A18" s="3" t="s">
        <v>32</v>
      </c>
      <c r="B18" s="6">
        <f>B16*-B17</f>
        <v>-4500</v>
      </c>
    </row>
    <row r="19" spans="1:2" x14ac:dyDescent="0.45">
      <c r="A19" s="3"/>
      <c r="B19" s="6"/>
    </row>
    <row r="20" spans="1:2" x14ac:dyDescent="0.45">
      <c r="A20" s="3" t="s">
        <v>18</v>
      </c>
      <c r="B20" s="6">
        <v>-100000</v>
      </c>
    </row>
    <row r="21" spans="1:2" x14ac:dyDescent="0.45">
      <c r="A21" s="3" t="s">
        <v>19</v>
      </c>
      <c r="B21" s="6">
        <v>-20000</v>
      </c>
    </row>
    <row r="22" spans="1:2" x14ac:dyDescent="0.45">
      <c r="A22" s="7"/>
      <c r="B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Grace's car</vt:lpstr>
      <vt:lpstr>Grace's car summary</vt:lpstr>
      <vt:lpstr>Staying Afloat information</vt:lpstr>
      <vt:lpstr>Transition scenario</vt:lpstr>
      <vt:lpstr>My information</vt:lpstr>
      <vt:lpstr>My transition scenario</vt:lpstr>
      <vt:lpstr>Scenario #1 </vt:lpstr>
      <vt:lpstr>Scenario #2</vt:lpstr>
      <vt:lpstr>Scenario #3</vt:lpstr>
      <vt:lpstr>Scenario 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Teh</dc:creator>
  <cp:lastModifiedBy>Kate Randall</cp:lastModifiedBy>
  <dcterms:created xsi:type="dcterms:W3CDTF">2018-03-08T22:38:06Z</dcterms:created>
  <dcterms:modified xsi:type="dcterms:W3CDTF">2019-03-28T01:02:03Z</dcterms:modified>
</cp:coreProperties>
</file>